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0788" yWindow="-12" windowWidth="10836" windowHeight="10152" tabRatio="525"/>
  </bookViews>
  <sheets>
    <sheet name="Sorted by Filer Name" sheetId="3" r:id="rId1"/>
  </sheets>
  <definedNames>
    <definedName name="Type">#REF!</definedName>
  </definedNames>
  <calcPr calcId="145621"/>
</workbook>
</file>

<file path=xl/calcChain.xml><?xml version="1.0" encoding="utf-8"?>
<calcChain xmlns="http://schemas.openxmlformats.org/spreadsheetml/2006/main">
  <c r="B88" i="3" l="1"/>
  <c r="B87" i="3"/>
  <c r="B86" i="3"/>
  <c r="B550" i="3" l="1"/>
  <c r="B549" i="3"/>
  <c r="B548" i="3"/>
  <c r="B547" i="3"/>
  <c r="B546" i="3"/>
  <c r="B545" i="3"/>
  <c r="B544" i="3"/>
  <c r="B555" i="3"/>
  <c r="B562" i="3"/>
  <c r="B567" i="3"/>
  <c r="B570" i="3"/>
  <c r="B573" i="3"/>
  <c r="B577" i="3"/>
  <c r="B578" i="3"/>
  <c r="B580" i="3"/>
  <c r="B584" i="3"/>
  <c r="B588" i="3"/>
  <c r="B590" i="3"/>
  <c r="B598" i="3"/>
  <c r="B602" i="3"/>
  <c r="B175" i="3"/>
  <c r="B192" i="3"/>
  <c r="B198" i="3"/>
  <c r="B199" i="3"/>
  <c r="B204" i="3"/>
  <c r="B207" i="3"/>
  <c r="B222" i="3"/>
  <c r="B254" i="3"/>
  <c r="B300" i="3"/>
  <c r="B302" i="3"/>
  <c r="B271" i="3"/>
  <c r="B287" i="3"/>
  <c r="B316" i="3"/>
  <c r="B444" i="3"/>
  <c r="B736" i="3"/>
  <c r="B917" i="3"/>
  <c r="B918" i="3"/>
  <c r="B921" i="3"/>
  <c r="B922" i="3"/>
  <c r="B932" i="3"/>
  <c r="B933" i="3"/>
  <c r="B934" i="3"/>
  <c r="B936" i="3"/>
  <c r="B940" i="3"/>
  <c r="B942" i="3"/>
  <c r="B943" i="3"/>
  <c r="B945" i="3"/>
  <c r="B980" i="3"/>
  <c r="B987" i="3"/>
  <c r="B951" i="3"/>
  <c r="B955" i="3"/>
  <c r="B957" i="3"/>
  <c r="B962" i="3"/>
  <c r="B966" i="3"/>
  <c r="B971" i="3"/>
  <c r="B978" i="3"/>
  <c r="B979" i="3"/>
  <c r="B983" i="3"/>
  <c r="B988" i="3"/>
  <c r="B989" i="3"/>
  <c r="B994" i="3"/>
  <c r="B334" i="3"/>
  <c r="B236" i="3"/>
  <c r="B168" i="3"/>
  <c r="B210" i="3"/>
  <c r="B698" i="3"/>
  <c r="B796" i="3"/>
  <c r="B272" i="3"/>
  <c r="B905" i="3"/>
  <c r="B266" i="3"/>
  <c r="B568" i="3"/>
  <c r="B539" i="3"/>
  <c r="B476" i="3"/>
  <c r="B572" i="3"/>
  <c r="B392" i="3"/>
  <c r="B4" i="3"/>
  <c r="B913" i="3"/>
  <c r="B938" i="3"/>
  <c r="B162" i="3"/>
  <c r="B643" i="3"/>
  <c r="B677" i="3"/>
  <c r="B939" i="3"/>
  <c r="B137" i="3"/>
  <c r="B866" i="3"/>
  <c r="B591" i="3"/>
  <c r="B185" i="3"/>
  <c r="B579" i="3"/>
  <c r="B71" i="3"/>
  <c r="B723" i="3"/>
  <c r="B61" i="3"/>
  <c r="B968" i="3"/>
  <c r="B860" i="3"/>
  <c r="B58" i="3"/>
  <c r="B299" i="3"/>
  <c r="B859" i="3"/>
  <c r="B3" i="3"/>
  <c r="B18" i="3"/>
  <c r="B63" i="3"/>
  <c r="B62" i="3"/>
  <c r="B48" i="3"/>
  <c r="B60" i="3"/>
  <c r="B191" i="3"/>
  <c r="B200" i="3"/>
  <c r="B215" i="3"/>
  <c r="B229" i="3"/>
  <c r="B250" i="3"/>
  <c r="B233" i="3"/>
  <c r="B258" i="3"/>
  <c r="B259" i="3"/>
  <c r="B262" i="3"/>
  <c r="B273" i="3"/>
  <c r="B308" i="3"/>
  <c r="B336" i="3"/>
  <c r="B335" i="3"/>
  <c r="B346" i="3"/>
  <c r="B368" i="3"/>
  <c r="B373" i="3"/>
  <c r="B391" i="3"/>
  <c r="B430" i="3"/>
  <c r="B437" i="3"/>
  <c r="B454" i="3"/>
  <c r="B458" i="3"/>
  <c r="B484" i="3"/>
  <c r="B582" i="3"/>
  <c r="B524" i="3"/>
  <c r="B525" i="3"/>
  <c r="B571" i="3"/>
  <c r="B581" i="3"/>
  <c r="B587" i="3"/>
  <c r="B592" i="3"/>
  <c r="B596" i="3"/>
  <c r="B26" i="3"/>
  <c r="B32" i="3"/>
  <c r="B40" i="3"/>
  <c r="B8" i="3"/>
  <c r="B10" i="3"/>
  <c r="B14" i="3"/>
  <c r="B15" i="3"/>
  <c r="B16" i="3"/>
  <c r="B17" i="3"/>
  <c r="B21" i="3"/>
  <c r="B25" i="3"/>
  <c r="B28" i="3"/>
  <c r="B35" i="3"/>
  <c r="B36" i="3"/>
  <c r="B39" i="3"/>
  <c r="B44" i="3"/>
  <c r="B53" i="3"/>
  <c r="B56" i="3"/>
  <c r="B57" i="3"/>
  <c r="B64" i="3"/>
  <c r="B68" i="3"/>
  <c r="B70" i="3"/>
  <c r="B72" i="3"/>
  <c r="B79" i="3"/>
  <c r="B85" i="3"/>
  <c r="B84" i="3"/>
  <c r="B99" i="3"/>
  <c r="B100" i="3"/>
  <c r="B101" i="3"/>
  <c r="B103" i="3"/>
  <c r="B105" i="3"/>
  <c r="B108" i="3"/>
  <c r="B112" i="3"/>
  <c r="B115" i="3"/>
  <c r="B179" i="3"/>
  <c r="B116" i="3"/>
  <c r="B117" i="3"/>
  <c r="B118" i="3"/>
  <c r="B119" i="3"/>
  <c r="B121" i="3"/>
  <c r="B133" i="3"/>
  <c r="B134" i="3"/>
  <c r="B135" i="3"/>
  <c r="B136" i="3"/>
  <c r="B138" i="3"/>
  <c r="B140" i="3"/>
  <c r="B148" i="3"/>
  <c r="B150" i="3"/>
  <c r="B151" i="3"/>
  <c r="B153" i="3"/>
  <c r="B5" i="3"/>
  <c r="B509" i="3"/>
  <c r="B975" i="3"/>
  <c r="B663" i="3"/>
  <c r="B797" i="3"/>
  <c r="B226" i="3"/>
  <c r="B241" i="3"/>
  <c r="B248" i="3"/>
  <c r="B249" i="3"/>
  <c r="B255" i="3"/>
  <c r="B263" i="3"/>
  <c r="B264" i="3"/>
  <c r="B279" i="3"/>
  <c r="B281" i="3"/>
  <c r="B283" i="3"/>
  <c r="B282" i="3"/>
  <c r="B293" i="3"/>
  <c r="B295" i="3"/>
  <c r="B325" i="3"/>
  <c r="B311" i="3"/>
  <c r="B319" i="3"/>
  <c r="B322" i="3"/>
  <c r="B328" i="3"/>
  <c r="B331" i="3"/>
  <c r="B332" i="3"/>
  <c r="B350" i="3"/>
  <c r="B366" i="3"/>
  <c r="B370" i="3"/>
  <c r="B375" i="3"/>
  <c r="B379" i="3"/>
  <c r="B409" i="3"/>
  <c r="B411" i="3"/>
  <c r="B425" i="3"/>
  <c r="B438" i="3"/>
  <c r="B429" i="3"/>
  <c r="B432" i="3"/>
  <c r="B446" i="3"/>
  <c r="B448" i="3"/>
  <c r="B461" i="3"/>
  <c r="B475" i="3"/>
  <c r="B480" i="3"/>
  <c r="B493" i="3"/>
  <c r="B499" i="3"/>
  <c r="B503" i="3"/>
  <c r="B535" i="3"/>
  <c r="B543" i="3"/>
  <c r="B504" i="3"/>
  <c r="B507" i="3"/>
  <c r="B515" i="3"/>
  <c r="B519" i="3"/>
  <c r="B518" i="3"/>
  <c r="B527" i="3"/>
  <c r="B528" i="3"/>
  <c r="B559" i="3"/>
  <c r="B561" i="3"/>
  <c r="B564" i="3"/>
  <c r="B575" i="3"/>
  <c r="B594" i="3"/>
  <c r="B612" i="3"/>
  <c r="B617" i="3"/>
  <c r="B630" i="3"/>
  <c r="B636" i="3"/>
  <c r="B640" i="3"/>
  <c r="B657" i="3"/>
  <c r="B655" i="3"/>
  <c r="B665" i="3"/>
  <c r="B664" i="3"/>
  <c r="B673" i="3"/>
  <c r="B696" i="3"/>
  <c r="B679" i="3"/>
  <c r="B693" i="3"/>
  <c r="B701" i="3"/>
  <c r="B702" i="3"/>
  <c r="B720" i="3"/>
  <c r="B763" i="3"/>
  <c r="B749" i="3"/>
  <c r="B748" i="3"/>
  <c r="B750" i="3"/>
  <c r="B752" i="3"/>
  <c r="B767" i="3"/>
  <c r="B769" i="3"/>
  <c r="B772" i="3"/>
  <c r="B802" i="3"/>
  <c r="B787" i="3"/>
  <c r="B793" i="3"/>
  <c r="B831" i="3"/>
  <c r="B840" i="3"/>
  <c r="B841" i="3"/>
  <c r="B844" i="3"/>
  <c r="B847" i="3"/>
  <c r="B851" i="3"/>
  <c r="B857" i="3"/>
  <c r="B871" i="3"/>
  <c r="B876" i="3"/>
  <c r="B879" i="3"/>
  <c r="B885" i="3"/>
  <c r="B889" i="3"/>
  <c r="B904" i="3"/>
  <c r="B919" i="3"/>
  <c r="B920" i="3"/>
  <c r="B958" i="3"/>
  <c r="B972" i="3"/>
  <c r="B976" i="3"/>
  <c r="B977" i="3"/>
  <c r="B464" i="3"/>
  <c r="B465" i="3"/>
  <c r="B470" i="3"/>
  <c r="B471" i="3"/>
  <c r="B485" i="3"/>
  <c r="B497" i="3"/>
  <c r="B498" i="3"/>
  <c r="B501" i="3"/>
  <c r="B473" i="3"/>
  <c r="B481" i="3"/>
  <c r="B486" i="3"/>
  <c r="B494" i="3"/>
  <c r="B496" i="3"/>
  <c r="B500" i="3"/>
  <c r="B531" i="3"/>
  <c r="B595" i="3"/>
  <c r="B597" i="3"/>
  <c r="B508" i="3"/>
  <c r="B510" i="3"/>
  <c r="B512" i="3"/>
  <c r="B513" i="3"/>
  <c r="B516" i="3"/>
  <c r="B521" i="3"/>
  <c r="B526" i="3"/>
  <c r="B536" i="3"/>
  <c r="B551" i="3"/>
  <c r="B746" i="3"/>
  <c r="B846" i="3"/>
  <c r="B51" i="3"/>
  <c r="B107" i="3"/>
  <c r="B139" i="3"/>
  <c r="B156" i="3"/>
  <c r="B159" i="3"/>
  <c r="B240" i="3"/>
  <c r="B154" i="3"/>
  <c r="B155" i="3"/>
  <c r="B161" i="3"/>
  <c r="B166" i="3"/>
  <c r="B167" i="3"/>
  <c r="B171" i="3"/>
  <c r="B173" i="3"/>
  <c r="B174" i="3"/>
  <c r="B180" i="3"/>
  <c r="B188" i="3"/>
  <c r="B189" i="3"/>
  <c r="B183" i="3"/>
  <c r="B187" i="3"/>
  <c r="B193" i="3"/>
  <c r="B195" i="3"/>
  <c r="B196" i="3"/>
  <c r="B206" i="3"/>
  <c r="B209" i="3"/>
  <c r="B214" i="3"/>
  <c r="B218" i="3"/>
  <c r="B219" i="3"/>
  <c r="B220" i="3"/>
  <c r="B221" i="3"/>
  <c r="B223" i="3"/>
  <c r="B227" i="3"/>
  <c r="B228" i="3"/>
  <c r="B232" i="3"/>
  <c r="B260" i="3"/>
  <c r="B235" i="3"/>
  <c r="B239" i="3"/>
  <c r="B242" i="3"/>
  <c r="B245" i="3"/>
  <c r="B252" i="3"/>
  <c r="B256" i="3"/>
  <c r="B265" i="3"/>
  <c r="B277" i="3"/>
  <c r="B268" i="3"/>
  <c r="B269" i="3"/>
  <c r="B270" i="3"/>
  <c r="B276" i="3"/>
  <c r="B288" i="3"/>
  <c r="B289" i="3"/>
  <c r="B291" i="3"/>
  <c r="B292" i="3"/>
  <c r="B296" i="3"/>
  <c r="B297" i="3"/>
  <c r="B298" i="3"/>
  <c r="B310" i="3"/>
  <c r="B317" i="3"/>
  <c r="B323" i="3"/>
  <c r="B324" i="3"/>
  <c r="B326" i="3"/>
  <c r="B327" i="3"/>
  <c r="B338" i="3"/>
  <c r="B339" i="3"/>
  <c r="B344" i="3"/>
  <c r="B340" i="3"/>
  <c r="B341" i="3"/>
  <c r="B347" i="3"/>
  <c r="B351" i="3"/>
  <c r="B353" i="3"/>
  <c r="B359" i="3"/>
  <c r="B361" i="3"/>
  <c r="B362" i="3"/>
  <c r="B364" i="3"/>
  <c r="B369" i="3"/>
  <c r="B371" i="3"/>
  <c r="B380" i="3"/>
  <c r="B385" i="3"/>
  <c r="B387" i="3"/>
  <c r="B399" i="3"/>
  <c r="B400" i="3"/>
  <c r="B401" i="3"/>
  <c r="B403" i="3"/>
  <c r="B424" i="3"/>
  <c r="B423" i="3"/>
  <c r="B412" i="3"/>
  <c r="B419" i="3"/>
  <c r="B420" i="3"/>
  <c r="B421" i="3"/>
  <c r="B422" i="3"/>
  <c r="B427" i="3"/>
  <c r="B431" i="3"/>
  <c r="B433" i="3"/>
  <c r="B435" i="3"/>
  <c r="B440" i="3"/>
  <c r="B441" i="3"/>
  <c r="B447" i="3"/>
  <c r="B449" i="3"/>
  <c r="B450" i="3"/>
  <c r="B455" i="3"/>
  <c r="B469" i="3"/>
  <c r="B459" i="3"/>
  <c r="B460" i="3"/>
  <c r="B462" i="3"/>
  <c r="B463" i="3"/>
  <c r="B792" i="3"/>
  <c r="B935" i="3"/>
  <c r="B45" i="3"/>
  <c r="B398" i="3"/>
  <c r="B38" i="3"/>
  <c r="B69" i="3"/>
  <c r="B124" i="3"/>
  <c r="B125" i="3"/>
  <c r="B205" i="3"/>
  <c r="B388" i="3"/>
  <c r="B511" i="3"/>
  <c r="B537" i="3"/>
  <c r="B554" i="3"/>
  <c r="B576" i="3"/>
  <c r="B600" i="3"/>
  <c r="B631" i="3"/>
  <c r="B711" i="3"/>
  <c r="B764" i="3"/>
  <c r="B783" i="3"/>
  <c r="B853" i="3"/>
  <c r="B944" i="3"/>
  <c r="B982" i="3"/>
  <c r="B182" i="3"/>
  <c r="B666" i="3"/>
  <c r="B647" i="3"/>
  <c r="B55" i="3"/>
  <c r="B76" i="3"/>
  <c r="B211" i="3"/>
  <c r="B367" i="3"/>
  <c r="B489" i="3"/>
  <c r="B553" i="3"/>
  <c r="B552" i="3"/>
  <c r="B650" i="3"/>
  <c r="B22" i="3"/>
  <c r="B682" i="3"/>
  <c r="B775" i="3"/>
  <c r="B974" i="3"/>
  <c r="B13" i="3"/>
  <c r="B791" i="3"/>
  <c r="B538" i="3"/>
  <c r="B257" i="3"/>
  <c r="B321" i="3"/>
  <c r="B349" i="3"/>
  <c r="B395" i="3"/>
  <c r="B396" i="3"/>
  <c r="B467" i="3"/>
  <c r="B482" i="3"/>
  <c r="B483" i="3"/>
  <c r="B618" i="3"/>
  <c r="B803" i="3"/>
  <c r="B821" i="3"/>
  <c r="B822" i="3"/>
  <c r="B832" i="3"/>
  <c r="B852" i="3"/>
  <c r="B910" i="3"/>
  <c r="B381" i="3"/>
  <c r="B744" i="3"/>
  <c r="B184" i="3"/>
  <c r="B540" i="3"/>
  <c r="B95" i="3"/>
  <c r="B360" i="3"/>
  <c r="B656" i="3"/>
  <c r="B495" i="3"/>
  <c r="B374" i="3"/>
  <c r="B81" i="3"/>
  <c r="B92" i="3"/>
  <c r="B93" i="3"/>
  <c r="B102" i="3"/>
  <c r="B113" i="3"/>
  <c r="B224" i="3"/>
  <c r="B231" i="3"/>
  <c r="B123" i="3"/>
  <c r="B130" i="3"/>
  <c r="B143" i="3"/>
  <c r="B144" i="3"/>
  <c r="B145" i="3"/>
  <c r="B152" i="3"/>
  <c r="B158" i="3"/>
  <c r="B176" i="3"/>
  <c r="B194" i="3"/>
  <c r="B203" i="3"/>
  <c r="B212" i="3"/>
  <c r="B213" i="3"/>
  <c r="B216" i="3"/>
  <c r="B376" i="3"/>
  <c r="B415" i="3"/>
  <c r="B651" i="3"/>
  <c r="B621" i="3"/>
  <c r="B642" i="3"/>
  <c r="B633" i="3"/>
  <c r="B648" i="3"/>
  <c r="B649" i="3"/>
  <c r="B652" i="3"/>
  <c r="B653" i="3"/>
  <c r="B654" i="3"/>
  <c r="B668" i="3"/>
  <c r="B685" i="3"/>
  <c r="B686" i="3"/>
  <c r="B718" i="3"/>
  <c r="B670" i="3"/>
  <c r="B674" i="3"/>
  <c r="B676" i="3"/>
  <c r="B678" i="3"/>
  <c r="B680" i="3"/>
  <c r="B681" i="3"/>
  <c r="B687" i="3"/>
  <c r="B688" i="3"/>
  <c r="B690" i="3"/>
  <c r="B691" i="3"/>
  <c r="B692" i="3"/>
  <c r="B694" i="3"/>
  <c r="B695" i="3"/>
  <c r="B697" i="3"/>
  <c r="B700" i="3"/>
  <c r="B703" i="3"/>
  <c r="B705" i="3"/>
  <c r="B706" i="3"/>
  <c r="B709" i="3"/>
  <c r="B710" i="3"/>
  <c r="B721" i="3"/>
  <c r="B724" i="3"/>
  <c r="B725" i="3"/>
  <c r="B727" i="3"/>
  <c r="B730" i="3"/>
  <c r="B741" i="3"/>
  <c r="B732" i="3"/>
  <c r="B745" i="3"/>
  <c r="B755" i="3"/>
  <c r="B756" i="3"/>
  <c r="B757" i="3"/>
  <c r="B760" i="3"/>
  <c r="B759" i="3"/>
  <c r="B758" i="3"/>
  <c r="B770" i="3"/>
  <c r="B800" i="3"/>
  <c r="B801" i="3"/>
  <c r="B837" i="3"/>
  <c r="B839" i="3"/>
  <c r="B786" i="3"/>
  <c r="B785" i="3"/>
  <c r="B790" i="3"/>
  <c r="B798" i="3"/>
  <c r="B804" i="3"/>
  <c r="B805" i="3"/>
  <c r="B806" i="3"/>
  <c r="B807" i="3"/>
  <c r="B809" i="3"/>
  <c r="B810" i="3"/>
  <c r="B811" i="3"/>
  <c r="B812" i="3"/>
  <c r="B813" i="3"/>
  <c r="B814" i="3"/>
  <c r="B816" i="3"/>
  <c r="B817" i="3"/>
  <c r="B819" i="3"/>
  <c r="B827" i="3"/>
  <c r="B836" i="3"/>
  <c r="B838" i="3"/>
  <c r="B842" i="3"/>
  <c r="B848" i="3"/>
  <c r="B854" i="3"/>
  <c r="B911" i="3"/>
  <c r="B862" i="3"/>
  <c r="B863" i="3"/>
  <c r="B864" i="3"/>
  <c r="B865" i="3"/>
  <c r="B867" i="3"/>
  <c r="B868" i="3"/>
  <c r="B872" i="3"/>
  <c r="B874" i="3"/>
  <c r="B878" i="3"/>
  <c r="B880" i="3"/>
  <c r="B884" i="3"/>
  <c r="B887" i="3"/>
  <c r="B888" i="3"/>
  <c r="B900" i="3"/>
  <c r="B901" i="3"/>
  <c r="B902" i="3"/>
  <c r="B906" i="3"/>
  <c r="B909" i="3"/>
  <c r="B931" i="3"/>
  <c r="B930" i="3"/>
  <c r="B929" i="3"/>
  <c r="B928" i="3"/>
  <c r="B927" i="3"/>
  <c r="B926" i="3"/>
  <c r="B925" i="3"/>
  <c r="B924" i="3"/>
  <c r="B491" i="3"/>
  <c r="B490" i="3"/>
  <c r="B506" i="3"/>
  <c r="B505" i="3"/>
  <c r="B514" i="3"/>
  <c r="B530" i="3"/>
  <c r="B532" i="3"/>
  <c r="B533" i="3"/>
  <c r="B534" i="3"/>
  <c r="B563" i="3"/>
  <c r="B569" i="3"/>
  <c r="B583" i="3"/>
  <c r="B601" i="3"/>
  <c r="B644" i="3"/>
  <c r="B603" i="3"/>
  <c r="B608" i="3"/>
  <c r="B610" i="3"/>
  <c r="B625" i="3"/>
  <c r="B626" i="3"/>
  <c r="B627" i="3"/>
  <c r="B639" i="3"/>
  <c r="B646" i="3"/>
  <c r="B671" i="3"/>
  <c r="B675" i="3"/>
  <c r="B684" i="3"/>
  <c r="B716" i="3"/>
  <c r="B722" i="3"/>
  <c r="B733" i="3"/>
  <c r="B739" i="3"/>
  <c r="B740" i="3"/>
  <c r="B747" i="3"/>
  <c r="B751" i="3"/>
  <c r="B615" i="3"/>
  <c r="B768" i="3"/>
  <c r="B771" i="3"/>
  <c r="B774" i="3"/>
  <c r="B773" i="3"/>
  <c r="B808" i="3"/>
  <c r="B845" i="3"/>
  <c r="B795" i="3"/>
  <c r="B824" i="3"/>
  <c r="B823" i="3"/>
  <c r="B828" i="3"/>
  <c r="B830" i="3"/>
  <c r="B850" i="3"/>
  <c r="B856" i="3"/>
  <c r="B855" i="3"/>
  <c r="B858" i="3"/>
  <c r="B908" i="3"/>
  <c r="B861" i="3"/>
  <c r="B873" i="3"/>
  <c r="B877" i="3"/>
  <c r="B891" i="3"/>
  <c r="B912" i="3"/>
  <c r="B915" i="3"/>
  <c r="B914" i="3"/>
  <c r="B916" i="3"/>
  <c r="B953" i="3"/>
  <c r="B959" i="3"/>
  <c r="B960" i="3"/>
  <c r="B961" i="3"/>
  <c r="B964" i="3"/>
  <c r="B278" i="3"/>
  <c r="B6" i="3"/>
  <c r="B9" i="3"/>
  <c r="B23" i="3"/>
  <c r="B30" i="3"/>
  <c r="B37" i="3"/>
  <c r="B43" i="3"/>
  <c r="B111" i="3"/>
  <c r="B54" i="3"/>
  <c r="B59" i="3"/>
  <c r="B66" i="3"/>
  <c r="B65" i="3"/>
  <c r="B96" i="3"/>
  <c r="B97" i="3"/>
  <c r="B104" i="3"/>
  <c r="B106" i="3"/>
  <c r="B217" i="3"/>
  <c r="B131" i="3"/>
  <c r="B132" i="3"/>
  <c r="B142" i="3"/>
  <c r="B146" i="3"/>
  <c r="B149" i="3"/>
  <c r="B172" i="3"/>
  <c r="B177" i="3"/>
  <c r="B186" i="3"/>
  <c r="B181" i="3"/>
  <c r="B197" i="3"/>
  <c r="B201" i="3"/>
  <c r="B225" i="3"/>
  <c r="B230" i="3"/>
  <c r="B251" i="3"/>
  <c r="B234" i="3"/>
  <c r="B243" i="3"/>
  <c r="B253" i="3"/>
  <c r="B261" i="3"/>
  <c r="B274" i="3"/>
  <c r="B303" i="3"/>
  <c r="B304" i="3"/>
  <c r="B337" i="3"/>
  <c r="B306" i="3"/>
  <c r="B307" i="3"/>
  <c r="B318" i="3"/>
  <c r="B329" i="3"/>
  <c r="B343" i="3"/>
  <c r="B352" i="3"/>
  <c r="B358" i="3"/>
  <c r="B378" i="3"/>
  <c r="B382" i="3"/>
  <c r="B386" i="3"/>
  <c r="B397" i="3"/>
  <c r="B404" i="3"/>
  <c r="B406" i="3"/>
  <c r="B405" i="3"/>
  <c r="B407" i="3"/>
  <c r="B414" i="3"/>
  <c r="B416" i="3"/>
  <c r="B418" i="3"/>
  <c r="B417" i="3"/>
  <c r="B426" i="3"/>
  <c r="B428" i="3"/>
  <c r="B436" i="3"/>
  <c r="B442" i="3"/>
  <c r="B443" i="3"/>
  <c r="B456" i="3"/>
  <c r="B466" i="3"/>
  <c r="B474" i="3"/>
  <c r="B477" i="3"/>
  <c r="B487" i="3"/>
  <c r="B492" i="3"/>
  <c r="B502" i="3"/>
  <c r="B517" i="3"/>
  <c r="B520" i="3"/>
  <c r="B558" i="3"/>
  <c r="B585" i="3"/>
  <c r="B586" i="3"/>
  <c r="B593" i="3"/>
  <c r="B614" i="3"/>
  <c r="B616" i="3"/>
  <c r="B637" i="3"/>
  <c r="B660" i="3"/>
  <c r="B661" i="3"/>
  <c r="B662" i="3"/>
  <c r="B726" i="3"/>
  <c r="B683" i="3"/>
  <c r="B699" i="3"/>
  <c r="B707" i="3"/>
  <c r="B715" i="3"/>
  <c r="B728" i="3"/>
  <c r="B761" i="3"/>
  <c r="B762" i="3"/>
  <c r="B731" i="3"/>
  <c r="B735" i="3"/>
  <c r="B738" i="3"/>
  <c r="B743" i="3"/>
  <c r="B776" i="3"/>
  <c r="B779" i="3"/>
  <c r="B781" i="3"/>
  <c r="B782" i="3"/>
  <c r="B784" i="3"/>
  <c r="B794" i="3"/>
  <c r="B815" i="3"/>
  <c r="B826" i="3"/>
  <c r="B882" i="3"/>
  <c r="B892" i="3"/>
  <c r="B907" i="3"/>
  <c r="B923" i="3"/>
  <c r="B947" i="3"/>
  <c r="B937" i="3"/>
  <c r="B986" i="3"/>
  <c r="B952" i="3"/>
  <c r="B956" i="3"/>
  <c r="B973" i="3"/>
  <c r="B990" i="3"/>
  <c r="B993" i="3"/>
  <c r="B992" i="3"/>
  <c r="B24" i="3"/>
  <c r="B7" i="3"/>
  <c r="B20" i="3"/>
  <c r="B29" i="3"/>
  <c r="B33" i="3"/>
  <c r="B42" i="3"/>
  <c r="B91" i="3"/>
  <c r="B114" i="3"/>
  <c r="B46" i="3"/>
  <c r="B47" i="3"/>
  <c r="B52" i="3"/>
  <c r="B74" i="3"/>
  <c r="B80" i="3"/>
  <c r="B599" i="3"/>
  <c r="B620" i="3"/>
  <c r="B667" i="3"/>
  <c r="B708" i="3"/>
  <c r="B714" i="3"/>
  <c r="B737" i="3"/>
  <c r="B754" i="3"/>
  <c r="B777" i="3"/>
  <c r="B788" i="3"/>
  <c r="B789" i="3"/>
  <c r="B843" i="3"/>
  <c r="B869" i="3"/>
  <c r="B875" i="3"/>
  <c r="B881" i="3"/>
  <c r="B883" i="3"/>
  <c r="B893" i="3"/>
  <c r="B896" i="3"/>
  <c r="B948" i="3"/>
  <c r="B954" i="3"/>
  <c r="B970" i="3"/>
  <c r="B981" i="3"/>
  <c r="B238" i="3"/>
  <c r="B309" i="3"/>
  <c r="B315" i="3"/>
  <c r="B314" i="3"/>
  <c r="B313" i="3"/>
  <c r="B408" i="3"/>
  <c r="B77" i="3"/>
  <c r="B78" i="3"/>
  <c r="B126" i="3"/>
  <c r="B163" i="3"/>
  <c r="B170" i="3"/>
  <c r="B301" i="3"/>
  <c r="B280" i="3"/>
  <c r="B286" i="3"/>
  <c r="B294" i="3"/>
  <c r="B312" i="3"/>
  <c r="B333" i="3"/>
  <c r="B345" i="3"/>
  <c r="B357" i="3"/>
  <c r="B402" i="3"/>
  <c r="B372" i="3"/>
  <c r="B377" i="3"/>
  <c r="B390" i="3"/>
  <c r="B445" i="3"/>
  <c r="B452" i="3"/>
  <c r="B529" i="3"/>
  <c r="B541" i="3"/>
  <c r="B556" i="3"/>
  <c r="B557" i="3"/>
  <c r="B560" i="3"/>
  <c r="B565" i="3"/>
  <c r="B641" i="3"/>
  <c r="B604" i="3"/>
  <c r="B611" i="3"/>
  <c r="B623" i="3"/>
  <c r="B624" i="3"/>
  <c r="B659" i="3"/>
  <c r="B669" i="3"/>
  <c r="B672" i="3"/>
  <c r="B719" i="3"/>
  <c r="B742" i="3"/>
  <c r="B766" i="3"/>
  <c r="B778" i="3"/>
  <c r="B818" i="3"/>
  <c r="B820" i="3"/>
  <c r="B825" i="3"/>
  <c r="B835" i="3"/>
  <c r="B985" i="3"/>
  <c r="B965" i="3"/>
  <c r="B342" i="3"/>
  <c r="B522" i="3"/>
  <c r="B799" i="3"/>
  <c r="B894" i="3"/>
  <c r="B941" i="3"/>
  <c r="B946" i="3"/>
  <c r="B984" i="3"/>
  <c r="B11" i="3"/>
  <c r="B27" i="3"/>
  <c r="B31" i="3"/>
  <c r="B50" i="3"/>
  <c r="B94" i="3"/>
  <c r="B49" i="3"/>
  <c r="B83" i="3"/>
  <c r="B89" i="3"/>
  <c r="B98" i="3"/>
  <c r="B129" i="3"/>
  <c r="B208" i="3"/>
  <c r="B120" i="3"/>
  <c r="B122" i="3"/>
  <c r="B128" i="3"/>
  <c r="B127" i="3"/>
  <c r="B141" i="3"/>
  <c r="B157" i="3"/>
  <c r="B160" i="3"/>
  <c r="B164" i="3"/>
  <c r="B169" i="3"/>
  <c r="B479" i="3"/>
  <c r="B468" i="3"/>
  <c r="B457" i="3"/>
  <c r="B434" i="3"/>
  <c r="B413" i="3"/>
  <c r="B410" i="3"/>
  <c r="B393" i="3"/>
  <c r="B384" i="3"/>
  <c r="B383" i="3"/>
  <c r="B354" i="3"/>
  <c r="B348" i="3"/>
  <c r="B356" i="3"/>
  <c r="B320" i="3"/>
  <c r="B305" i="3"/>
  <c r="B290" i="3"/>
  <c r="B285" i="3"/>
  <c r="B284" i="3"/>
  <c r="B267" i="3"/>
  <c r="B237" i="3"/>
  <c r="B202" i="3"/>
  <c r="B190" i="3"/>
  <c r="B178" i="3"/>
  <c r="B330" i="3"/>
  <c r="B355" i="3"/>
  <c r="B363" i="3"/>
  <c r="B365" i="3"/>
  <c r="B389" i="3"/>
  <c r="B394" i="3"/>
  <c r="B451" i="3"/>
  <c r="B453" i="3"/>
  <c r="B488" i="3"/>
  <c r="B472" i="3"/>
  <c r="B478" i="3"/>
  <c r="B542" i="3"/>
  <c r="B566" i="3"/>
  <c r="B574" i="3"/>
  <c r="B589" i="3"/>
  <c r="B613" i="3"/>
  <c r="B619" i="3"/>
  <c r="B629" i="3"/>
  <c r="B638" i="3"/>
  <c r="B689" i="3"/>
  <c r="B704" i="3"/>
  <c r="B712" i="3"/>
  <c r="B713" i="3"/>
  <c r="B717" i="3"/>
  <c r="B729" i="3"/>
  <c r="B734" i="3"/>
  <c r="B753" i="3"/>
  <c r="B765" i="3"/>
  <c r="B780" i="3"/>
  <c r="B829" i="3"/>
  <c r="B834" i="3"/>
  <c r="B833" i="3"/>
  <c r="B849" i="3"/>
  <c r="B870" i="3"/>
  <c r="B886" i="3"/>
  <c r="B890" i="3"/>
  <c r="B895" i="3"/>
  <c r="B897" i="3"/>
  <c r="B898" i="3"/>
  <c r="B899" i="3"/>
  <c r="B903" i="3"/>
  <c r="B949" i="3"/>
  <c r="B950" i="3"/>
  <c r="B963" i="3"/>
  <c r="B967" i="3"/>
  <c r="B969" i="3"/>
  <c r="B991" i="3"/>
  <c r="B995" i="3"/>
  <c r="B523" i="3"/>
  <c r="B12" i="3"/>
  <c r="B19" i="3"/>
  <c r="B34" i="3"/>
  <c r="B41" i="3"/>
  <c r="B110" i="3"/>
  <c r="B73" i="3"/>
  <c r="B75" i="3"/>
  <c r="B82" i="3"/>
  <c r="B90" i="3"/>
  <c r="B109" i="3"/>
  <c r="B147" i="3"/>
  <c r="B165" i="3"/>
  <c r="B645" i="3"/>
  <c r="B605" i="3"/>
  <c r="B606" i="3"/>
  <c r="B607" i="3"/>
  <c r="B609" i="3"/>
  <c r="B622" i="3"/>
  <c r="B628" i="3"/>
  <c r="B632" i="3"/>
  <c r="B635" i="3"/>
  <c r="B634" i="3"/>
</calcChain>
</file>

<file path=xl/sharedStrings.xml><?xml version="1.0" encoding="utf-8"?>
<sst xmlns="http://schemas.openxmlformats.org/spreadsheetml/2006/main" count="3130" uniqueCount="1252">
  <si>
    <t>Link to submission on ECFS</t>
  </si>
  <si>
    <t>Lake Region Electric Cooperative</t>
  </si>
  <si>
    <t>MO</t>
  </si>
  <si>
    <t>WiredWest Communications Cooperative Corporation</t>
  </si>
  <si>
    <t>Pages Filed in ECFS</t>
  </si>
  <si>
    <t>Wilkes Telephone Membership Corporation</t>
  </si>
  <si>
    <t>Wilkes Telephone &amp; Electric Company</t>
  </si>
  <si>
    <t>Wes-Tex Telephone Cooperative, Inc.</t>
  </si>
  <si>
    <t>Washington Broadband, Inc.</t>
  </si>
  <si>
    <t>United States Cellular Corporation</t>
  </si>
  <si>
    <t>United Electric Cooperative</t>
  </si>
  <si>
    <t>Tri-County Telephone Company</t>
  </si>
  <si>
    <t>Totah Communications, Inc.</t>
  </si>
  <si>
    <t>Tipmont REMC</t>
  </si>
  <si>
    <t>Thomas Swartzwelder</t>
  </si>
  <si>
    <t>The Nova Telephone Company</t>
  </si>
  <si>
    <t>Thames Valley Communications,Inc.</t>
  </si>
  <si>
    <t>Sycamore Telephone Company</t>
  </si>
  <si>
    <t>Stratford Mutual Telephone</t>
  </si>
  <si>
    <t>Steve Collin - Spectrum Telecom</t>
  </si>
  <si>
    <t>Star Telephone Membership Corporation</t>
  </si>
  <si>
    <t>St. Louis Broadband, LLC</t>
  </si>
  <si>
    <t>Spruce Knob Seneca Rocks Telephone, Inc.</t>
  </si>
  <si>
    <t>Southern Ohio Communication Services, Inc.</t>
  </si>
  <si>
    <t>Scott Boone</t>
  </si>
  <si>
    <t>Sara Folsted</t>
  </si>
  <si>
    <t>SEMO Electric Cooperative</t>
  </si>
  <si>
    <t>Ryan Hodson</t>
  </si>
  <si>
    <t>Rural Texas Broadband</t>
  </si>
  <si>
    <t>Rural Broadband Network Services, LLC</t>
  </si>
  <si>
    <t>Riviera Telephone Company, Inc.</t>
  </si>
  <si>
    <t>Rio Blanco County</t>
  </si>
  <si>
    <t>Ringgold Telephone Company</t>
  </si>
  <si>
    <t>RingTel Communications</t>
  </si>
  <si>
    <t>RTC Solutions, Inc</t>
  </si>
  <si>
    <t>Prairie Power, Inc.</t>
  </si>
  <si>
    <t>Pine Telephone System Inc.</t>
  </si>
  <si>
    <t>Pine Telephone Company, Inc.</t>
  </si>
  <si>
    <t>Peoples Wireless Services &amp; Peoples Communication, Inc.</t>
  </si>
  <si>
    <t>Partner Communications Cooperative</t>
  </si>
  <si>
    <t>PES Energize</t>
  </si>
  <si>
    <t>PANGAEA Internet</t>
  </si>
  <si>
    <t>Otter Tail Telcom</t>
  </si>
  <si>
    <t>Orcas Power and Light Cooperative</t>
  </si>
  <si>
    <t>OSHEAN, INC.</t>
  </si>
  <si>
    <t>Northwest Open Access Network</t>
  </si>
  <si>
    <t>Northern Iowa Telephone Company</t>
  </si>
  <si>
    <t>Northeast Louisiana Telephone Co., Inc.</t>
  </si>
  <si>
    <t>Nexus Systems Inc.</t>
  </si>
  <si>
    <t>New Lisbon Telephone Company</t>
  </si>
  <si>
    <t>Mt Horeb Telephone Company</t>
  </si>
  <si>
    <t>Millington Telephone Company</t>
  </si>
  <si>
    <t>Mid-Iowa Telecom, LLC</t>
  </si>
  <si>
    <t>Mid-Atlantic Broadband Communities Corporation</t>
  </si>
  <si>
    <t>Michwave Technologies, Inc.</t>
  </si>
  <si>
    <t>Matanuska Telephone Association, Inc.</t>
  </si>
  <si>
    <t>Massillon Cable TV, Inc.</t>
  </si>
  <si>
    <t>Mark A. Wade</t>
  </si>
  <si>
    <t>Margie Hall</t>
  </si>
  <si>
    <t>Madonna Peltier Yawakie</t>
  </si>
  <si>
    <t>Madison Communications, Inc.</t>
  </si>
  <si>
    <t>MH Telecom, LLC</t>
  </si>
  <si>
    <t>MCNC</t>
  </si>
  <si>
    <t>M-22 Internet Project, LLC</t>
  </si>
  <si>
    <t>Luke Baugh</t>
  </si>
  <si>
    <t>LocalTel Communications</t>
  </si>
  <si>
    <t>Last Mile Broadband, LLC</t>
  </si>
  <si>
    <t>Ken Kautzman</t>
  </si>
  <si>
    <t>John Hartline, Executive Director, Tri-County Council for Southern Maryland</t>
  </si>
  <si>
    <t>John Edmonds</t>
  </si>
  <si>
    <t>Jay Armstrong</t>
  </si>
  <si>
    <t>James Newsom</t>
  </si>
  <si>
    <t>JGM</t>
  </si>
  <si>
    <t>JAB Wireless, Inc.</t>
  </si>
  <si>
    <t>Indiana Statewide Association of Rural Electric Cooperatives, Inc.</t>
  </si>
  <si>
    <t>Illinois Valley Cellular</t>
  </si>
  <si>
    <t>Harlan Community Television, Inc.</t>
  </si>
  <si>
    <t>Hancock County</t>
  </si>
  <si>
    <t>Hampton Municipal Communications Utility</t>
  </si>
  <si>
    <t>H. Keith Oliver</t>
  </si>
  <si>
    <t>Great Plains Communications</t>
  </si>
  <si>
    <t>Georgia Communications Cooperative</t>
  </si>
  <si>
    <t>Franklin Telephone Company, Inc.</t>
  </si>
  <si>
    <t>Franklin County, NC</t>
  </si>
  <si>
    <t>Frank Ohrtman</t>
  </si>
  <si>
    <t>Flat Rock Telephone Co-Op, Inc.</t>
  </si>
  <si>
    <t>First Step Internet, LLC</t>
  </si>
  <si>
    <t>Fayetteville Public Utilities</t>
  </si>
  <si>
    <t>FNW LLC</t>
  </si>
  <si>
    <t>Eric Brown</t>
  </si>
  <si>
    <t>Energy Field Security, Inc.</t>
  </si>
  <si>
    <t>Egyptian Telephone Cooperative Association</t>
  </si>
  <si>
    <t>Edward Moore</t>
  </si>
  <si>
    <t>ECSIS.NET, LLC</t>
  </si>
  <si>
    <t>E. Ritter Telephone Company</t>
  </si>
  <si>
    <t>E. Ritter Communications</t>
  </si>
  <si>
    <t>Diverse Power Incorporated</t>
  </si>
  <si>
    <t>Delta Telephone Company, Inc.</t>
  </si>
  <si>
    <t>Delta Telephone Co., Inc.</t>
  </si>
  <si>
    <t>Dawn Fiber, LLC</t>
  </si>
  <si>
    <t>Cumberland Telephone Company</t>
  </si>
  <si>
    <t>Cox Communications</t>
  </si>
  <si>
    <t>County of Orange, Virginia</t>
  </si>
  <si>
    <t>County of Cheshire</t>
  </si>
  <si>
    <t>Convergence Technologies Inc</t>
  </si>
  <si>
    <t>Connie Stewart</t>
  </si>
  <si>
    <t>Clear Rate Communications, Inc.</t>
  </si>
  <si>
    <t>Citizens Telephone Company</t>
  </si>
  <si>
    <t>Christopher Campbell</t>
  </si>
  <si>
    <t>Cheryl Dittus</t>
  </si>
  <si>
    <t>Cherry Capital Connection</t>
  </si>
  <si>
    <t>Cherokee Telephone Company</t>
  </si>
  <si>
    <t>Cellular Network Partnership</t>
  </si>
  <si>
    <t>CapeNet LLC</t>
  </si>
  <si>
    <t>CVIN LLC dba Vast Networks (CVIN)</t>
  </si>
  <si>
    <t>CTC Telcom, Inc. dba Mosaic Telecom</t>
  </si>
  <si>
    <t>Bulloch Cellular, Inc.</t>
  </si>
  <si>
    <t>Bretton Woods Telephone Company, Inc.</t>
  </si>
  <si>
    <t>Boycom Cablevision Inc</t>
  </si>
  <si>
    <t>Bowling Green Municipal Utilities</t>
  </si>
  <si>
    <t>Bob Nichols</t>
  </si>
  <si>
    <t>Bluebonnet Electric Cooperative</t>
  </si>
  <si>
    <t>Black River Electric Cooperative</t>
  </si>
  <si>
    <t>Barry Electric Cooperative</t>
  </si>
  <si>
    <t>Ballard Rural Telephone Cooperative Corporation, Inc.</t>
  </si>
  <si>
    <t>Ballard Rural Telephone Cooperative Corporation, Inc</t>
  </si>
  <si>
    <t>BVU Authority</t>
  </si>
  <si>
    <t>BOUNCELINX</t>
  </si>
  <si>
    <t>Avolutia, LLC dba Shelby Broadband</t>
  </si>
  <si>
    <t>Ark-Tex &amp; East Texas Councils of Governments</t>
  </si>
  <si>
    <t>Andrew Powell</t>
  </si>
  <si>
    <t>Allegany County Public Schools, Maryland</t>
  </si>
  <si>
    <t>Adams Telsystems, Inc</t>
  </si>
  <si>
    <t>ALLO Communications LLC</t>
  </si>
  <si>
    <t>Yuma County Economic Development Corp.</t>
  </si>
  <si>
    <t>Yelcot Telephone Company</t>
  </si>
  <si>
    <t>Westphalia Telephone Company</t>
  </si>
  <si>
    <t>Warm Springs Telecom</t>
  </si>
  <si>
    <t>Waldron Telephone Company</t>
  </si>
  <si>
    <t>WTC Communications, Inc.</t>
  </si>
  <si>
    <t>Vanessa Lynchard</t>
  </si>
  <si>
    <t>VTX Telecom, LLC</t>
  </si>
  <si>
    <t>UniTel, Inc.</t>
  </si>
  <si>
    <t>Turtle Mountain Communications</t>
  </si>
  <si>
    <t>Town of Cooper</t>
  </si>
  <si>
    <t>Tidewater Telecom, Inc.</t>
  </si>
  <si>
    <t>Southeast Communications Services,LLC</t>
  </si>
  <si>
    <t>Slic Network Solutions</t>
  </si>
  <si>
    <t>Scott County Telephone Cooperative and Virginia Coalfield Coalition</t>
  </si>
  <si>
    <t>Santa Rosa Telephone Cooperative,Inc.</t>
  </si>
  <si>
    <t>Sandhill Telephone Cooperative</t>
  </si>
  <si>
    <t>Sand Creek Telephone Company</t>
  </si>
  <si>
    <t>Sally Fineday</t>
  </si>
  <si>
    <t>S&amp;T Communications</t>
  </si>
  <si>
    <t>Richard E. Brockman</t>
  </si>
  <si>
    <t>Red River Communications</t>
  </si>
  <si>
    <t>Range Telephone Cooperative, Inc.</t>
  </si>
  <si>
    <t>Ralls County Electric Cooperative</t>
  </si>
  <si>
    <t>RTC Communications Corp</t>
  </si>
  <si>
    <t>RT Communications, Inc.</t>
  </si>
  <si>
    <t>Public Service Wireless, Inc., d/b/a Public Service Data Wireless</t>
  </si>
  <si>
    <t>Plumas-Sierra Rural Electric Cooperative &amp; Telecommunications</t>
  </si>
  <si>
    <t>Pinnacle Telecom</t>
  </si>
  <si>
    <t>Piedmont Rural Telephone Cooperative</t>
  </si>
  <si>
    <t>Patrick McKinney</t>
  </si>
  <si>
    <t>PRT Communications LLC</t>
  </si>
  <si>
    <t>Otelco Telephone LLC</t>
  </si>
  <si>
    <t>Otelco Telecommunications LLC</t>
  </si>
  <si>
    <t>Otelco Mid-Missouri LLC</t>
  </si>
  <si>
    <t>Northern Nevada High Speed, LLC</t>
  </si>
  <si>
    <t>Nex-Tech Wireless, LLC</t>
  </si>
  <si>
    <t>Newcore Wireless</t>
  </si>
  <si>
    <t>Mountain View Telephone Company</t>
  </si>
  <si>
    <t>Monmouth and Independence Network (MINET)</t>
  </si>
  <si>
    <t>Monarc Technologies</t>
  </si>
  <si>
    <t>Michigan Broadband Services</t>
  </si>
  <si>
    <t>Mark Feest</t>
  </si>
  <si>
    <t>Marilyn Lidyoff</t>
  </si>
  <si>
    <t>M. Scott Burgess</t>
  </si>
  <si>
    <t>Livingston Telephone Company</t>
  </si>
  <si>
    <t>Lincolnville Communications, Inc.</t>
  </si>
  <si>
    <t>Lavaca Telephone Company</t>
  </si>
  <si>
    <t>Larry Burtness</t>
  </si>
  <si>
    <t>Lake County Minnesota</t>
  </si>
  <si>
    <t>KINBER</t>
  </si>
  <si>
    <t>Joseph Freddoso</t>
  </si>
  <si>
    <t>Jim Surrency</t>
  </si>
  <si>
    <t>Jim Sanborn</t>
  </si>
  <si>
    <t>Jeffrey Cooper - CooperSoft</t>
  </si>
  <si>
    <t>James C. Mahoney</t>
  </si>
  <si>
    <t>Jackson Energy Authority</t>
  </si>
  <si>
    <t>Interstate Telecommunications Cooperative, Inc.</t>
  </si>
  <si>
    <t>Internet Colorado, LLC - Jason Swenson</t>
  </si>
  <si>
    <t>Intercounty Electric Cooperative Association</t>
  </si>
  <si>
    <t>Illinois Department of Central Management Services</t>
  </si>
  <si>
    <t>Iamo Telephone Company</t>
  </si>
  <si>
    <t>I-Land Internet Services LLC</t>
  </si>
  <si>
    <t>I-35 Telephone Company</t>
  </si>
  <si>
    <t>Hopper Telecommunications LLC</t>
  </si>
  <si>
    <t>Henry County REMC</t>
  </si>
  <si>
    <t>Heart of Iowa Communications Cooperative</t>
  </si>
  <si>
    <t>Harbor Area Regional Board of Resources, Inc. (HARBOR, Inc.)</t>
  </si>
  <si>
    <t>Golden West Telecommunications Cooperative, Inc.</t>
  </si>
  <si>
    <t>Gibson Electric Membership Corporation</t>
  </si>
  <si>
    <t>Gateway Telecom,LLC DBA StratusWave Communications</t>
  </si>
  <si>
    <t>Filer Mutual Telephone</t>
  </si>
  <si>
    <t>FamilyView Cablevision</t>
  </si>
  <si>
    <t>Faith Elliott Rossing</t>
  </si>
  <si>
    <t>FTC Communications, LLC</t>
  </si>
  <si>
    <t>Etex Telephone Cooperative, Inc.</t>
  </si>
  <si>
    <t>Etex Telecom</t>
  </si>
  <si>
    <t>Eastex Telephone Cooperative, Inc.</t>
  </si>
  <si>
    <t>Dubois Telephone Exchange, Inc.</t>
  </si>
  <si>
    <t>Diller Telephone Company</t>
  </si>
  <si>
    <t>Delta Communications, LLC dba Clearwave Communications</t>
  </si>
  <si>
    <t>Dallas County Wireless Inc</t>
  </si>
  <si>
    <t>DFT Local Service Corporation</t>
  </si>
  <si>
    <t>Cuba City Telephone Exchange Company, Inc.</t>
  </si>
  <si>
    <t>Consumers Power Inc</t>
  </si>
  <si>
    <t>Consolidated Electric Cooperative</t>
  </si>
  <si>
    <t>Coles-Moultrie Electric Coop</t>
  </si>
  <si>
    <t>Co-Mo Electric Cooperative</t>
  </si>
  <si>
    <t>Cloquet Valley Internet Initiative</t>
  </si>
  <si>
    <t>City of Wilson, NC, Greenlight Community Broadband</t>
  </si>
  <si>
    <t>Cheryl Mitchem</t>
  </si>
  <si>
    <t>Cherokee Broadband Enterprise</t>
  </si>
  <si>
    <t>Central Scott Telephone, Inc.</t>
  </si>
  <si>
    <t>Central Electric Cooperative</t>
  </si>
  <si>
    <t>CP-TEL Network Services, Inc.</t>
  </si>
  <si>
    <t>Brindlee Mountain Telephone LLC</t>
  </si>
  <si>
    <t>Brian Kelley</t>
  </si>
  <si>
    <t>Brandenburg Telephone Company</t>
  </si>
  <si>
    <t>Brandenburg Telecom LLC</t>
  </si>
  <si>
    <t>Big Bend Telephone Company</t>
  </si>
  <si>
    <t>Belmont Telephone Compamny, Inc.</t>
  </si>
  <si>
    <t>Bay Springs Telephone Company, Inc</t>
  </si>
  <si>
    <t>BTC, Inc</t>
  </si>
  <si>
    <t>Axiom Technologies</t>
  </si>
  <si>
    <t>Atlantic Engineering Group</t>
  </si>
  <si>
    <t>Andy Hennis</t>
  </si>
  <si>
    <t>Alliance Communications Cooperative</t>
  </si>
  <si>
    <t>Advanced Communications Technology, Inc.</t>
  </si>
  <si>
    <t>Access Wisconsin Group</t>
  </si>
  <si>
    <t>eCom Direct, Inc.</t>
  </si>
  <si>
    <t>West Carolina Communications, LLC</t>
  </si>
  <si>
    <t>Waterford WISP, Inc.</t>
  </si>
  <si>
    <t>Waterford Foundation</t>
  </si>
  <si>
    <t>Washington Co Rural Tel Coop</t>
  </si>
  <si>
    <t>Wallowa Valley Networks, LLC</t>
  </si>
  <si>
    <t>Umatilla Electric Cooperative</t>
  </si>
  <si>
    <t>Uintah Basin Electronic Telecommunications, Inc., d/b/a Strata Networks</t>
  </si>
  <si>
    <t>UBTA-UBET Commmunications Inc., d/b/a Strata Networks</t>
  </si>
  <si>
    <t>Town of Benton (Maine)</t>
  </si>
  <si>
    <t>The Seimitsu Corporation</t>
  </si>
  <si>
    <t>The Bloomingdale Home Telephone Company</t>
  </si>
  <si>
    <t>TecInfo Communications, LLC</t>
  </si>
  <si>
    <t>TV Service, Inc.</t>
  </si>
  <si>
    <t>T. Dean Avey Jr</t>
  </si>
  <si>
    <t>Superior Wireless, LLC</t>
  </si>
  <si>
    <t>Strategic Technology Communications, Inc</t>
  </si>
  <si>
    <t>Southern Maryland Internet, Inc.</t>
  </si>
  <si>
    <t>Southern Cayuga County Cablevision, LLC</t>
  </si>
  <si>
    <t>South Park Telephone Company</t>
  </si>
  <si>
    <t>Scott Mesneak</t>
  </si>
  <si>
    <t>STARTOUCH INC</t>
  </si>
  <si>
    <t>SI Wireless dba Mobile Nation</t>
  </si>
  <si>
    <t>Rye Telephone Company</t>
  </si>
  <si>
    <t>Rutherford County, TN</t>
  </si>
  <si>
    <t>Rural Telephone Service Company, Inc. DBA Nex-Tech</t>
  </si>
  <si>
    <t>Rio Cities Internet</t>
  </si>
  <si>
    <t>Ridgenet Network Group, LLC</t>
  </si>
  <si>
    <t>Region 9 Economic Development District of SW Colorado</t>
  </si>
  <si>
    <t>Region 10 League for Economic Assistance and Planning</t>
  </si>
  <si>
    <t>Rancho Navarro Association</t>
  </si>
  <si>
    <t>Premier Systems Unlimited Inc.</t>
  </si>
  <si>
    <t>Poka Lambro Telephone Cooperative, Inc.</t>
  </si>
  <si>
    <t>Paul Bunyan Rural Telephone Cooperative</t>
  </si>
  <si>
    <t>Pankaj Shah</t>
  </si>
  <si>
    <t>Palm Beach County Broadband Coalition</t>
  </si>
  <si>
    <t>Oasis Online</t>
  </si>
  <si>
    <t>Northern Valley Communications</t>
  </si>
  <si>
    <t>North Dakota Telephone Company</t>
  </si>
  <si>
    <t>North Central Telephone Cooperative, Inc.</t>
  </si>
  <si>
    <t>North Central Communications, Inc.</t>
  </si>
  <si>
    <t>New Era Broadband</t>
  </si>
  <si>
    <t>Networkmaine</t>
  </si>
  <si>
    <t>Nebraska Central Telephone Company</t>
  </si>
  <si>
    <t>NW Colorado Council of Governments</t>
  </si>
  <si>
    <t>NCN Data Networks</t>
  </si>
  <si>
    <t>Mobius Communications Company</t>
  </si>
  <si>
    <t>Mike Litterer</t>
  </si>
  <si>
    <t>Mid-Communications, Inc.</t>
  </si>
  <si>
    <t>McLeod Cooperative Power Assoc.</t>
  </si>
  <si>
    <t>McDonough Telephone Cooperative</t>
  </si>
  <si>
    <t>McClure Communications Corporation</t>
  </si>
  <si>
    <t>Matthew Thomas ULink LLC</t>
  </si>
  <si>
    <t>Manti Tele Communications Company</t>
  </si>
  <si>
    <t>Madison County Telephone Company</t>
  </si>
  <si>
    <t>Livewire Wireless, LLC</t>
  </si>
  <si>
    <t>Larry Schriver</t>
  </si>
  <si>
    <t>Kit Carson Electric Cooperative</t>
  </si>
  <si>
    <t>Kanabec Broadband Initiative</t>
  </si>
  <si>
    <t>Jeff Hixon</t>
  </si>
  <si>
    <t>InterBel Telephone Cooperative, Inc.</t>
  </si>
  <si>
    <t>ImOn Communications, LLC</t>
  </si>
  <si>
    <t>Hocking Internet Technologies, Ltd.</t>
  </si>
  <si>
    <t>Heather Morgan</t>
  </si>
  <si>
    <t>Heartland Telecommunications Company of Iowa</t>
  </si>
  <si>
    <t>Glenwood Telecommunications, Inc.</t>
  </si>
  <si>
    <t>George Levitsky, CCTM</t>
  </si>
  <si>
    <t>GMN Tri-County CAC, Inc.</t>
  </si>
  <si>
    <t>Fishers Island Telephone Corp</t>
  </si>
  <si>
    <t>Fairfield Communications, Inc./TruVista Communications of Georgia, LLC</t>
  </si>
  <si>
    <t>Emily Cooperative Telephone Company</t>
  </si>
  <si>
    <t>Electronics Service Company of Hamlet, LLC</t>
  </si>
  <si>
    <t>Electronic Corporate Pages, Inc.</t>
  </si>
  <si>
    <t>Eagle Telephone System, Inc.</t>
  </si>
  <si>
    <t>David Bone</t>
  </si>
  <si>
    <t>Continental Divide Electric Co-op. Inc</t>
  </si>
  <si>
    <t>ComSpan Communications, Inc.</t>
  </si>
  <si>
    <t>Cloverland Electric Cooperative &amp; Lighthouse.Net</t>
  </si>
  <si>
    <t>City of Ketchikan d/b/a Ketchikan Public Utilities - Telecommunications Division</t>
  </si>
  <si>
    <t>Chester Telephone Company</t>
  </si>
  <si>
    <t>Bryan Case</t>
  </si>
  <si>
    <t>Border to Border Communications, Inc.</t>
  </si>
  <si>
    <t>Blanchard Telephone Company</t>
  </si>
  <si>
    <t>Bixby Telephone Company</t>
  </si>
  <si>
    <t>BTC Broadband</t>
  </si>
  <si>
    <t>Austin Utilities/Austin Vision 2020</t>
  </si>
  <si>
    <t>Armstrong Tel. Co. - Northern Division</t>
  </si>
  <si>
    <t>Allband Communications Cooperative</t>
  </si>
  <si>
    <t>Agri-Valley Services, Inc./AVCI.net</t>
  </si>
  <si>
    <t>mark wegscheid</t>
  </si>
  <si>
    <t>Zenda Telephone Company, Inc.</t>
  </si>
  <si>
    <t>YP llc</t>
  </si>
  <si>
    <t>West Side Telecommunications</t>
  </si>
  <si>
    <t>West River Telecommunications Cooperative</t>
  </si>
  <si>
    <t>Waverly Hall Telephone Company</t>
  </si>
  <si>
    <t>Wabash Valley Power Association, Inc.</t>
  </si>
  <si>
    <t>Wabash County REMC</t>
  </si>
  <si>
    <t>Tri-County Electric Membership Corporation</t>
  </si>
  <si>
    <t>Town of Windsor</t>
  </si>
  <si>
    <t>Town of Terry</t>
  </si>
  <si>
    <t>Town of Ophir-Randy Barnes</t>
  </si>
  <si>
    <t>Town of Farmington</t>
  </si>
  <si>
    <t>Totelcom Networks, LLC</t>
  </si>
  <si>
    <t>Todd County Fiberband Task Force</t>
  </si>
  <si>
    <t>Thad Utech</t>
  </si>
  <si>
    <t>Stewart Computer Services - SCS Broadband</t>
  </si>
  <si>
    <t>Southwest Arkansas Telephone Cooperative, Inc.</t>
  </si>
  <si>
    <t>Southern Coastal Cable</t>
  </si>
  <si>
    <t>San Luis Valley Rural Electric Cooperative</t>
  </si>
  <si>
    <t>Rural Broadband Company, Inc.</t>
  </si>
  <si>
    <t>Roanoke Electric Membership Corporation</t>
  </si>
  <si>
    <t>Rappahannock Electric Cooperative</t>
  </si>
  <si>
    <t>Randolph Telephone Membership Corp.</t>
  </si>
  <si>
    <t>Q-Wireless, LLC</t>
  </si>
  <si>
    <t>Port of Whitman County</t>
  </si>
  <si>
    <t>Plant Telephone Company</t>
  </si>
  <si>
    <t>Plant Telenet, Inc.</t>
  </si>
  <si>
    <t>Pineland Telephone Communications</t>
  </si>
  <si>
    <t>Pembroke Telephone Cooperative</t>
  </si>
  <si>
    <t>Northern Telephone Company</t>
  </si>
  <si>
    <t>North Texas Telephone Company</t>
  </si>
  <si>
    <t>Nicholas Pascaretti</t>
  </si>
  <si>
    <t>New Source Broadband I LLC</t>
  </si>
  <si>
    <t>Moundville Telephone Company</t>
  </si>
  <si>
    <t>Miller Telephone Company</t>
  </si>
  <si>
    <t>Mid-Plains Rural Telephone Cooperative, Inc.</t>
  </si>
  <si>
    <t>Mescalero Apache Telecom, Inc.</t>
  </si>
  <si>
    <t>Larry Mason</t>
  </si>
  <si>
    <t>La Motte Telephone Company</t>
  </si>
  <si>
    <t>LISCO, Inc.</t>
  </si>
  <si>
    <t>Johnson City Power Board</t>
  </si>
  <si>
    <t>John W. McCarthy</t>
  </si>
  <si>
    <t>Jo-Carroll Energy, Inc. (NFP)</t>
  </si>
  <si>
    <t>Holland Board of Public Works</t>
  </si>
  <si>
    <t>Hickman-Fulton Counties Rural Electric Cooperative Corporation</t>
  </si>
  <si>
    <t>Great Lakes Energy Cooperative</t>
  </si>
  <si>
    <t>Granite State Telephone</t>
  </si>
  <si>
    <t>GlobalNet Internet Services</t>
  </si>
  <si>
    <t>FibAire Communications, LLC d/b/a AireBeam</t>
  </si>
  <si>
    <t>Ellijay Telephone Company</t>
  </si>
  <si>
    <t>Eastern Indiana WIFI,Inc.</t>
  </si>
  <si>
    <t>ETCOM, LLC &amp; Electronic Service Company, Inc.</t>
  </si>
  <si>
    <t>ETC Communications, LLC</t>
  </si>
  <si>
    <t>Diverse Communications</t>
  </si>
  <si>
    <t>Crossroads WiFi</t>
  </si>
  <si>
    <t>Copper Valley Telephone Cooperative, Inc.</t>
  </si>
  <si>
    <t>Conxxus, LLC</t>
  </si>
  <si>
    <t>Consolidated Telcom</t>
  </si>
  <si>
    <t>Consolidated Enterprises, Inc.</t>
  </si>
  <si>
    <t>Conneaut Telephone Co. Inc.</t>
  </si>
  <si>
    <t>Clear Lake Telephone Co.</t>
  </si>
  <si>
    <t>City of Norwich</t>
  </si>
  <si>
    <t>City of Coffeyville dba Coffeyville Connection</t>
  </si>
  <si>
    <t>City of Athens Utilities</t>
  </si>
  <si>
    <t>Citizens Striving to be Part of the 21st Century</t>
  </si>
  <si>
    <t>Chenango County Planning</t>
  </si>
  <si>
    <t>Cass Cable TV, Inc.</t>
  </si>
  <si>
    <t>Cap Rock Telephone Cooperative, Inc.</t>
  </si>
  <si>
    <t>Cal-Ore Telephone Co.</t>
  </si>
  <si>
    <t>COQUITEL LLC</t>
  </si>
  <si>
    <t>CD Networks, LLC</t>
  </si>
  <si>
    <t>Brantley Telephone Company, Inc.</t>
  </si>
  <si>
    <t>Bobby Norwood</t>
  </si>
  <si>
    <t>Baraga Telephone Co.</t>
  </si>
  <si>
    <t>BPM, Inc. d/b/a Noxapater Telephone Company, Inc.</t>
  </si>
  <si>
    <t>BARC Electric Cooperative</t>
  </si>
  <si>
    <t>Aquidneck Island Planning Commission</t>
  </si>
  <si>
    <t>Amherst Telephone Company</t>
  </si>
  <si>
    <t>Agate Mutual Telephone Cooperative Association</t>
  </si>
  <si>
    <t>Wood County Telephone Company</t>
  </si>
  <si>
    <t>Volunteer Energy Cooperative</t>
  </si>
  <si>
    <t>Vernon Communications, LLC</t>
  </si>
  <si>
    <t>Town of Estes Park</t>
  </si>
  <si>
    <t>Sebewaing Light and Water</t>
  </si>
  <si>
    <t>Mark Twain Communications Co.</t>
  </si>
  <si>
    <t>Garrett County Community Action Committee</t>
  </si>
  <si>
    <t>West Central Telephone Association</t>
  </si>
  <si>
    <t>WSSP Inc./Matt Wallace</t>
  </si>
  <si>
    <t>Southwestern Wireless, Inc</t>
  </si>
  <si>
    <t>South Plains Telephone Cooperative, Inc.</t>
  </si>
  <si>
    <t>South Central Indiana REMC</t>
  </si>
  <si>
    <t>Smithville Communications</t>
  </si>
  <si>
    <t>Scott Valcourt</t>
  </si>
  <si>
    <t>Sacred Wind and Pueblo of Laguna utility Authority</t>
  </si>
  <si>
    <t>Rural Broadband Experiments Expression of Interest</t>
  </si>
  <si>
    <t>RFC Broadband, Inc.</t>
  </si>
  <si>
    <t>Prairie Grove Telephone Company</t>
  </si>
  <si>
    <t>Palmetto Telephone Communications, LLC</t>
  </si>
  <si>
    <t>Ozarks Electric Cooperative</t>
  </si>
  <si>
    <t>Otelco Inc.</t>
  </si>
  <si>
    <t>North Carolina Wireless, LLC</t>
  </si>
  <si>
    <t>North Bay-North Coast Broadband Consortium</t>
  </si>
  <si>
    <t>New Hope Telephone Cooperative</t>
  </si>
  <si>
    <t>Nebraska Rural Independent Companies</t>
  </si>
  <si>
    <t>NTCA,NECA,WTA,USTelecom</t>
  </si>
  <si>
    <t>Mid-Ohio Valley Regional Council</t>
  </si>
  <si>
    <t>Micki Sumpter</t>
  </si>
  <si>
    <t>Michelle Motzkus</t>
  </si>
  <si>
    <t>Michael Varenhorst</t>
  </si>
  <si>
    <t>Meriwether Lewis Electric Cooperative</t>
  </si>
  <si>
    <t>Matthew D. Rowe</t>
  </si>
  <si>
    <t>John Winter</t>
  </si>
  <si>
    <t>John Badal</t>
  </si>
  <si>
    <t>Hidden Lake Wireless, Inc.</t>
  </si>
  <si>
    <t>Hancock Rural Telephone Corp d/b/a NineStar Connect</t>
  </si>
  <si>
    <t>Halstad Telephone Company</t>
  </si>
  <si>
    <t>HTC Communications Co.</t>
  </si>
  <si>
    <t>Golden Belt Telephone Assoc. Inc.</t>
  </si>
  <si>
    <t>Gearheart Communications, Inc.</t>
  </si>
  <si>
    <t>Fred Engelmann</t>
  </si>
  <si>
    <t>FCC IP Transition Order Rural Broadband Experiments Expression of Interest</t>
  </si>
  <si>
    <t>EnergyUnited EMC</t>
  </si>
  <si>
    <t>Ellerbe Telephone Company</t>
  </si>
  <si>
    <t>Eden Recor Grand County Internet Services</t>
  </si>
  <si>
    <t>ETCOM, LLC</t>
  </si>
  <si>
    <t>City of South Portland</t>
  </si>
  <si>
    <t>City of Chanute</t>
  </si>
  <si>
    <t>Carr Telephone Company</t>
  </si>
  <si>
    <t>Blue Ridge Mountain EMC</t>
  </si>
  <si>
    <t>Blue Ridge Electric Membership Corporation</t>
  </si>
  <si>
    <t>Illinois Rural Electric Cooperative</t>
  </si>
  <si>
    <t>Federated Telephone Cooperative</t>
  </si>
  <si>
    <t>Farmers Mutual Telephone Company</t>
  </si>
  <si>
    <t>David Clark</t>
  </si>
  <si>
    <t>Winnebago Cooperative Telecom Association</t>
  </si>
  <si>
    <t>West Texas Rural Telephone Cooperative, Inc.</t>
  </si>
  <si>
    <t>Walnut Communications</t>
  </si>
  <si>
    <t>W. T. Services, Inc.</t>
  </si>
  <si>
    <t>Town of Liberty Grove</t>
  </si>
  <si>
    <t>Town of Dunbarton</t>
  </si>
  <si>
    <t>Tim Boie</t>
  </si>
  <si>
    <t>Three River Telco</t>
  </si>
  <si>
    <t>The Champaign Telephone Company</t>
  </si>
  <si>
    <t>Thacker-Grigsby Telephone Co., Inc.</t>
  </si>
  <si>
    <t>Stanton Telecom, Inc.</t>
  </si>
  <si>
    <t>Savage Communications, Inc.</t>
  </si>
  <si>
    <t>Sarah Sweedler</t>
  </si>
  <si>
    <t>Sac Osage Electric Cooperative, Inc.</t>
  </si>
  <si>
    <t>Roanoke Valley Broadband Authority</t>
  </si>
  <si>
    <t>RC Communications</t>
  </si>
  <si>
    <t>Planters Communications, LLC</t>
  </si>
  <si>
    <t>Pinpoint Wireless, Inc.</t>
  </si>
  <si>
    <t>Owensboro Municipal Utilities</t>
  </si>
  <si>
    <t>Neu Ventures dba Mountain Zone TV Systems</t>
  </si>
  <si>
    <t>Nathan Steinke</t>
  </si>
  <si>
    <t>Mutual Telephone Company of Morning Sun</t>
  </si>
  <si>
    <t>Mountain Communications LLC dba ProCom</t>
  </si>
  <si>
    <t>Morristown Utilities Commission</t>
  </si>
  <si>
    <t>Mitzie Branon</t>
  </si>
  <si>
    <t>Mike Whelan</t>
  </si>
  <si>
    <t>Marne &amp; Elk Horn Telephone Company</t>
  </si>
  <si>
    <t>Mark Wegscheid</t>
  </si>
  <si>
    <t>MLGC, LLC</t>
  </si>
  <si>
    <t>Leverett Municipal Light Plant</t>
  </si>
  <si>
    <t>Karen Fasimpaur</t>
  </si>
  <si>
    <t>Johnson County REMC</t>
  </si>
  <si>
    <t>Jevin P. Kasselman</t>
  </si>
  <si>
    <t>James Vann</t>
  </si>
  <si>
    <t>Highland Telephone Cooperative</t>
  </si>
  <si>
    <t>Green Hills Telecommunications Services</t>
  </si>
  <si>
    <t>Geneseo Communications, Inc.</t>
  </si>
  <si>
    <t>Frontier Communications</t>
  </si>
  <si>
    <t>Farmers Mutual Tel Co</t>
  </si>
  <si>
    <t>Eastern Shore Communications LLC</t>
  </si>
  <si>
    <t>Duo County Telephone Cooperative Corporation, Inc.</t>
  </si>
  <si>
    <t>Dr. Salah Al-Chalabi</t>
  </si>
  <si>
    <t>Douglas Services Inc., dba Douglas Fast Net</t>
  </si>
  <si>
    <t>Daktel Communications, LLC</t>
  </si>
  <si>
    <t>DFJB, LLC dba GlobalVision</t>
  </si>
  <si>
    <t>Cunningham Communications, Inc.</t>
  </si>
  <si>
    <t>County of Sullivan - Local Govt.</t>
  </si>
  <si>
    <t>Consolidated Telephone Company</t>
  </si>
  <si>
    <t>Confederated Salish &amp; Kootenai Tribes</t>
  </si>
  <si>
    <t>Benton Ridge Telephone Company</t>
  </si>
  <si>
    <t>Bandwidth.com, Inc.</t>
  </si>
  <si>
    <t>BEVCOMM, Inc.</t>
  </si>
  <si>
    <t>Allamakee-Clayton Electric Cooperative</t>
  </si>
  <si>
    <t>1-4 All Connect Jefferson County</t>
  </si>
  <si>
    <t>TDS Baja Broadband, LLC</t>
  </si>
  <si>
    <t>Erwin Utilities</t>
  </si>
  <si>
    <t>BEK</t>
  </si>
  <si>
    <t>TDS Telecommunications Corp.</t>
  </si>
  <si>
    <t>Betty Yates</t>
  </si>
  <si>
    <t>Princeton Broadband Committee</t>
  </si>
  <si>
    <t>Bill Mayo</t>
  </si>
  <si>
    <t>Missouri RSA 5 Partnership dba Chariton Valley Wireless Services</t>
  </si>
  <si>
    <t>Community Internet Service</t>
  </si>
  <si>
    <t>Mountain Communications LLC</t>
  </si>
  <si>
    <t>Teresa Romero</t>
  </si>
  <si>
    <t>Chariton Valley Telecom Corporation</t>
  </si>
  <si>
    <t>Venture Communications Cooperative</t>
  </si>
  <si>
    <t>Parke County REMC</t>
  </si>
  <si>
    <t>Nunn Communications, LLC</t>
  </si>
  <si>
    <t>City of Carl Junction</t>
  </si>
  <si>
    <t>Velocity Broadband Internet, Inc.</t>
  </si>
  <si>
    <t>UDWI REMC</t>
  </si>
  <si>
    <t>3 Rivers Telephone Cooperative, Inc.</t>
  </si>
  <si>
    <t>Hill Country Telecommunications, LLC</t>
  </si>
  <si>
    <t>Mille Lacs Energy Cooperative</t>
  </si>
  <si>
    <t>Lake Region Electric Cooperative, Inc.</t>
  </si>
  <si>
    <t>MegaGate Broadband, Inc.</t>
  </si>
  <si>
    <t>Midwest Energy Cooperative</t>
  </si>
  <si>
    <t>Eagle One Wireless</t>
  </si>
  <si>
    <t>Tristate Internet</t>
  </si>
  <si>
    <t>Eastern Oregon Telecom</t>
  </si>
  <si>
    <t>Scott Ulsaker</t>
  </si>
  <si>
    <t>PHONEWORD</t>
  </si>
  <si>
    <t>Cotton Electric Cooperative, Inc.</t>
  </si>
  <si>
    <t>City of Nixa, MO</t>
  </si>
  <si>
    <t>Daniel J. Kelley</t>
  </si>
  <si>
    <t>French Broad Electric Membership Corp.</t>
  </si>
  <si>
    <t>Zach Leverenz</t>
  </si>
  <si>
    <t>Yahel Ben-David</t>
  </si>
  <si>
    <t>XIT Telecommunication &amp; Technology, Ltd.</t>
  </si>
  <si>
    <t>William R Sides II</t>
  </si>
  <si>
    <t>Western New Mexico Telephone Company, Inc.</t>
  </si>
  <si>
    <t>West Feliciana Parish</t>
  </si>
  <si>
    <t>Watershed Enterprises</t>
  </si>
  <si>
    <t>Washington - St. Tammany Electric Cooperative</t>
  </si>
  <si>
    <t>Walton County Economic Development Alliance</t>
  </si>
  <si>
    <t>Waitsfield-Fayston Telephone Co., Inc. d/b/a Waitsfield and Champlain Valley Tel</t>
  </si>
  <si>
    <t>WVVA.net Inc</t>
  </si>
  <si>
    <t>WIN Energy REMC</t>
  </si>
  <si>
    <t>Vistanet Telecommunications, Inc.</t>
  </si>
  <si>
    <t>Video Direct</t>
  </si>
  <si>
    <t>Viaero Wireless</t>
  </si>
  <si>
    <t>Vergennes Broadband LLC</t>
  </si>
  <si>
    <t>Valley Telecommunications, Inc.</t>
  </si>
  <si>
    <t>Valerie Fast Horse</t>
  </si>
  <si>
    <t>Utah Governor's Office of Economic Development</t>
  </si>
  <si>
    <t>Utah Education Network</t>
  </si>
  <si>
    <t>United Utilities, Inc.</t>
  </si>
  <si>
    <t>United States Telecom Association</t>
  </si>
  <si>
    <t>Union County Chamber of Commerce</t>
  </si>
  <si>
    <t>Unified Commmunications Inc. D.B.A. ZochNet</t>
  </si>
  <si>
    <t>UNS Energy Corporation (UNS)</t>
  </si>
  <si>
    <t>Twin Lakes Coop Corp</t>
  </si>
  <si>
    <t>Troy Cablevision, Inc.</t>
  </si>
  <si>
    <t>Tri-County Council for the Lower Eastern Shore of Maryland</t>
  </si>
  <si>
    <t>Tri County Telephone Assoc., Inc.</t>
  </si>
  <si>
    <t>TransWorld Network, Corp.</t>
  </si>
  <si>
    <t>Tom Kern</t>
  </si>
  <si>
    <t>Todd Houseman</t>
  </si>
  <si>
    <t>Tincans Wireless Internet</t>
  </si>
  <si>
    <t>Thomas T. Keller</t>
  </si>
  <si>
    <t>The Wired Road Authority</t>
  </si>
  <si>
    <t>The Center for Rural Development</t>
  </si>
  <si>
    <t>The Bayou Telephone Company</t>
  </si>
  <si>
    <t>Texas 10 and Central Louisiana Cellular d/b/a Cellular One</t>
  </si>
  <si>
    <t>Terrel Telephone Company</t>
  </si>
  <si>
    <t>Tennessee Wireless, LLC</t>
  </si>
  <si>
    <t>Telecom Bureau, Inc.</t>
  </si>
  <si>
    <t>Ted Williams</t>
  </si>
  <si>
    <t>Ted Book</t>
  </si>
  <si>
    <t>TWIN, Inc.</t>
  </si>
  <si>
    <t>Sunesys, LLC</t>
  </si>
  <si>
    <t>Steven C Fitzgerald</t>
  </si>
  <si>
    <t>Standing Rock Telecommunications</t>
  </si>
  <si>
    <t>Spring City Cable TV, Inc.</t>
  </si>
  <si>
    <t>SpeedConnect LLC</t>
  </si>
  <si>
    <t>Southeast TN Development District</t>
  </si>
  <si>
    <t>South Central Alabama Broadband Cooperative District</t>
  </si>
  <si>
    <t>SmarterBroadnad</t>
  </si>
  <si>
    <t>Slopeside Internet</t>
  </si>
  <si>
    <t>SkyWire Fiber/Infowest</t>
  </si>
  <si>
    <t>SkyLine Membership Corporation</t>
  </si>
  <si>
    <t>Sjoberg's Inc.</t>
  </si>
  <si>
    <t>Siren Telephone Company</t>
  </si>
  <si>
    <t>Sierra Telephone Company, Inc.</t>
  </si>
  <si>
    <t>Sierra Communications, Inc.</t>
  </si>
  <si>
    <t>Shidler Telephone Company</t>
  </si>
  <si>
    <t>Shenandoah Telecommunications</t>
  </si>
  <si>
    <t>Shelbyville-Bedford County Chamber of Commerce</t>
  </si>
  <si>
    <t>Shelby Electric Cooperative</t>
  </si>
  <si>
    <t>Scott Warner</t>
  </si>
  <si>
    <t>Sawtooth Technologies, LLC</t>
  </si>
  <si>
    <t>Santel Communications Cooperative, Inc</t>
  </si>
  <si>
    <t>SPRINPORT TELEPHONE COMPANY</t>
  </si>
  <si>
    <t>SPITwSPOTS,Inc.</t>
  </si>
  <si>
    <t>SEMO Communications</t>
  </si>
  <si>
    <t>SECPA / SECOM</t>
  </si>
  <si>
    <t>RuralReach.com</t>
  </si>
  <si>
    <t>Roy Choates</t>
  </si>
  <si>
    <t>Ronan Telephone Company</t>
  </si>
  <si>
    <t>Ronald L. Fugate</t>
  </si>
  <si>
    <t>Robert Huff</t>
  </si>
  <si>
    <t>Richard Pedersen</t>
  </si>
  <si>
    <t>Ralph Abrsms</t>
  </si>
  <si>
    <t>REV of Southern Middle Tennessee</t>
  </si>
  <si>
    <t>R. M. Greene, Inc</t>
  </si>
  <si>
    <t>Public Service Telephone Company</t>
  </si>
  <si>
    <t>Project Telephone Company</t>
  </si>
  <si>
    <t>Progressive Rural Telephone Cooperative</t>
  </si>
  <si>
    <t>Premier Communications, Inc</t>
  </si>
  <si>
    <t>Pioneer Communications, Inc.</t>
  </si>
  <si>
    <t>Pioneer Broadband</t>
  </si>
  <si>
    <t>Pineland Telephone Cooperative</t>
  </si>
  <si>
    <t>Pinebelt Broadcasting</t>
  </si>
  <si>
    <t>Pine Belt Cellular, Inc.</t>
  </si>
  <si>
    <t>Peter Austin</t>
  </si>
  <si>
    <t>Person County</t>
  </si>
  <si>
    <t>Perry-Spencer Rural Telephone</t>
  </si>
  <si>
    <t>Peoples Telecommunications, LLC</t>
  </si>
  <si>
    <t>Peoples Rural Telephone Cooperative Corporation</t>
  </si>
  <si>
    <t>Peoples Electric Cooperative</t>
  </si>
  <si>
    <t>Pee Dee Healthy Start Inc.</t>
  </si>
  <si>
    <t>Pedernales Electric Cooperative</t>
  </si>
  <si>
    <t>Pasty.net, Inc</t>
  </si>
  <si>
    <t>Parker FiberNet, LLC</t>
  </si>
  <si>
    <t>Panora Communications Cooperative and Guthrie Telecommunication Network, Inc</t>
  </si>
  <si>
    <t>Panhandle Telephone Cooperative, Inc.</t>
  </si>
  <si>
    <t>Pacific Lightwave, a California corporation</t>
  </si>
  <si>
    <t>PR Telecommunications Regulatory Board</t>
  </si>
  <si>
    <t>PC Telcorp, Inc.</t>
  </si>
  <si>
    <t>PBT Telecom, Inc.</t>
  </si>
  <si>
    <t>Ozark Telephone Company</t>
  </si>
  <si>
    <t>Orangeburg County Broadband</t>
  </si>
  <si>
    <t>Oneida County Economic Development Corporation</t>
  </si>
  <si>
    <t>OneCommunity</t>
  </si>
  <si>
    <t>OmniTel Communications</t>
  </si>
  <si>
    <t>Oklahoma Western Telephone Company</t>
  </si>
  <si>
    <t>Northeast Service Cooperative</t>
  </si>
  <si>
    <t>Northeast Rural Services, Inc.</t>
  </si>
  <si>
    <t>North Georgia Network</t>
  </si>
  <si>
    <t>Nittany Media, Inc.</t>
  </si>
  <si>
    <t>Netelysis, LLC</t>
  </si>
  <si>
    <t>Nemont Telephone Coooperative</t>
  </si>
  <si>
    <t>Nelson County Cablevision Corporation</t>
  </si>
  <si>
    <t>NYS Broadband Program Office</t>
  </si>
  <si>
    <t>NTUA Wireless, LLC</t>
  </si>
  <si>
    <t>NIPCO</t>
  </si>
  <si>
    <t>NDemand, Inc.</t>
  </si>
  <si>
    <t>Myakka Communications, Inc.</t>
  </si>
  <si>
    <t>Mountain Area Information Network</t>
  </si>
  <si>
    <t>Mound Bayou Telephone &amp; Communications</t>
  </si>
  <si>
    <t>Mojavewifi.com LLC</t>
  </si>
  <si>
    <t>Missouri Valley Communications</t>
  </si>
  <si>
    <t>Missouri Research and Education Network</t>
  </si>
  <si>
    <t>Mississippi Rural Broadband Initiative (MRBI)</t>
  </si>
  <si>
    <t>Millennium Communications Group Inc</t>
  </si>
  <si>
    <t>Mike Perkins</t>
  </si>
  <si>
    <t>Mid-Rivers Communications</t>
  </si>
  <si>
    <t>Mid-Columbia Economic Development District</t>
  </si>
  <si>
    <t>Michael Clemons</t>
  </si>
  <si>
    <t>Michael Baso</t>
  </si>
  <si>
    <t>Mediacom Communications Corporation, Deere &amp; Company</t>
  </si>
  <si>
    <t>Marty Diesburg</t>
  </si>
  <si>
    <t>Mark Harrison</t>
  </si>
  <si>
    <t>Marie Grant</t>
  </si>
  <si>
    <t>Makah Tribe</t>
  </si>
  <si>
    <t>Magnolia Wireless, Inc.</t>
  </si>
  <si>
    <t>Magnolia Road Internet Cooperative</t>
  </si>
  <si>
    <t>MVTV Wireless</t>
  </si>
  <si>
    <t>MTE Communications</t>
  </si>
  <si>
    <t>MCC Network Services, LLC</t>
  </si>
  <si>
    <t>Lori H Flanery</t>
  </si>
  <si>
    <t>Long Lines</t>
  </si>
  <si>
    <t>LightSpeed Networks, Inc.</t>
  </si>
  <si>
    <t>Leaco Rural Telephone Cooperative, Inc.</t>
  </si>
  <si>
    <t>LaHarpe Telephone</t>
  </si>
  <si>
    <t>LV.Net</t>
  </si>
  <si>
    <t>LTD Broadband LLC</t>
  </si>
  <si>
    <t>LREMC Technologies, L.L.C.</t>
  </si>
  <si>
    <t>LIBERTY CABLEVISION OF PUERTO RICO, LLC</t>
  </si>
  <si>
    <t>Kyle Walker</t>
  </si>
  <si>
    <t>Kody Frazier</t>
  </si>
  <si>
    <t>Kevin Tucker</t>
  </si>
  <si>
    <t>Kerri Pruitt, MBA</t>
  </si>
  <si>
    <t>Kern Valley Wireless</t>
  </si>
  <si>
    <t>Kennieth Goodwin</t>
  </si>
  <si>
    <t>Karl Jay Domingue</t>
  </si>
  <si>
    <t>Karen Sullivan</t>
  </si>
  <si>
    <t>KMTelecom</t>
  </si>
  <si>
    <t>Johnson Telephone Company</t>
  </si>
  <si>
    <t>John Ragan</t>
  </si>
  <si>
    <t>John Murrell</t>
  </si>
  <si>
    <t>John Gavan</t>
  </si>
  <si>
    <t>Jim Miedima</t>
  </si>
  <si>
    <t>Jim McFarland</t>
  </si>
  <si>
    <t>Jim Becker</t>
  </si>
  <si>
    <t>Jeffery Hanson</t>
  </si>
  <si>
    <t>Jay Maharjan</t>
  </si>
  <si>
    <t>Jan Puetthoff</t>
  </si>
  <si>
    <t>Jaguar Communications, Inc.</t>
  </si>
  <si>
    <t>Iron Goat Networks, llc</t>
  </si>
  <si>
    <t>Iowa Communications Network</t>
  </si>
  <si>
    <t>Iowa Association of Municipal Utilities</t>
  </si>
  <si>
    <t>Inyo Networks</t>
  </si>
  <si>
    <t>Info Link Wireless</t>
  </si>
  <si>
    <t>ISP Management Inc.</t>
  </si>
  <si>
    <t>Huerfano County</t>
  </si>
  <si>
    <t>Hot Springs Telephone Company</t>
  </si>
  <si>
    <t>Horry Telephone Cooperative, Inc.</t>
  </si>
  <si>
    <t>Horizon Telcom, Inc.</t>
  </si>
  <si>
    <t>Hiawatha Communications Inc.</t>
  </si>
  <si>
    <t>Hendricks Power Cooperative</t>
  </si>
  <si>
    <t>Harris Broadband LLP</t>
  </si>
  <si>
    <t>Habersham EMC</t>
  </si>
  <si>
    <t>Gulf Coast Broadband</t>
  </si>
  <si>
    <t>Great Lakes Communication Corp</t>
  </si>
  <si>
    <t>Grand Telephone Company</t>
  </si>
  <si>
    <t>Grand River Mutual Telephone</t>
  </si>
  <si>
    <t>Goochland County, Virginia</t>
  </si>
  <si>
    <t>Gil Gonzales, CIO, UNM</t>
  </si>
  <si>
    <t>Georgia Electric Membership Corporation</t>
  </si>
  <si>
    <t>Genesis Wireless</t>
  </si>
  <si>
    <t>Gargoyle Technologies, Inc.</t>
  </si>
  <si>
    <t>Gardonville Cooperative Telephone Association</t>
  </si>
  <si>
    <t>GCEC Telecom</t>
  </si>
  <si>
    <t>Fulton Telephone Company</t>
  </si>
  <si>
    <t>Fulton County REMC</t>
  </si>
  <si>
    <t>Frank M Bell, Community Manager</t>
  </si>
  <si>
    <t>Foothills Telephone Cooperative</t>
  </si>
  <si>
    <t>Florian Rumme</t>
  </si>
  <si>
    <t>Flint Cable Television</t>
  </si>
  <si>
    <t>Fidelity Communications Co.</t>
  </si>
  <si>
    <t>Farmers Telephone Company, Inc.</t>
  </si>
  <si>
    <t>Erik Miller</t>
  </si>
  <si>
    <t>Eric Ryker for South Central Wireless, Inc.</t>
  </si>
  <si>
    <t>Eric G. Wolfe</t>
  </si>
  <si>
    <t>Empyre Wireless LLC</t>
  </si>
  <si>
    <t>Empire Telephone Corporation</t>
  </si>
  <si>
    <t>Emery Telephone</t>
  </si>
  <si>
    <t>Emery Telecommunications &amp; Video</t>
  </si>
  <si>
    <t>Eastlight L.C.</t>
  </si>
  <si>
    <t>East Mississippi Electric Power Association</t>
  </si>
  <si>
    <t>East Central</t>
  </si>
  <si>
    <t>East Ascension Telephone Company dba EATEL</t>
  </si>
  <si>
    <t>ECF Holdings, LLC</t>
  </si>
  <si>
    <t>E.D.&amp; D., Inc.</t>
  </si>
  <si>
    <t>Don Pittman</t>
  </si>
  <si>
    <t>Dickey Rural Telephone Cooperative</t>
  </si>
  <si>
    <t>Delta Regional Broadband</t>
  </si>
  <si>
    <t>Delaware County Broadband Initiative</t>
  </si>
  <si>
    <t>David Cleveland</t>
  </si>
  <si>
    <t>Dan Olsen</t>
  </si>
  <si>
    <t>DSLbyAIR's Statement of Interest</t>
  </si>
  <si>
    <t>D. Kevin Felty</t>
  </si>
  <si>
    <t>Cumby Telephone Cooperative, Inc. (ILEC)</t>
  </si>
  <si>
    <t>Cumby Telephone Cooperative, Inc. (CLEC)</t>
  </si>
  <si>
    <t>Crystal Automation Systems, Inc.</t>
  </si>
  <si>
    <t>Cross Wireless</t>
  </si>
  <si>
    <t>Cross Cable Television</t>
  </si>
  <si>
    <t>Craig Hagenau</t>
  </si>
  <si>
    <t>Craig Baird</t>
  </si>
  <si>
    <t>County of Powhatan</t>
  </si>
  <si>
    <t>Cornerstone Communications</t>
  </si>
  <si>
    <t>Cooperatives ONE LLC</t>
  </si>
  <si>
    <t>Consoldiated Electric Coooperative</t>
  </si>
  <si>
    <t>Connexus Energy</t>
  </si>
  <si>
    <t>Comporium Companies</t>
  </si>
  <si>
    <t>Commnet Wireless, LLC</t>
  </si>
  <si>
    <t>ComSouth Telenet</t>
  </si>
  <si>
    <t>ComSouth Telecommunications</t>
  </si>
  <si>
    <t>Coleman County Telephone Cooperative</t>
  </si>
  <si>
    <t>Clay County Rural Telephone Cooperative dba Endeavor Communications</t>
  </si>
  <si>
    <t>Clarence Telephone Company, Inc.</t>
  </si>
  <si>
    <t>City of Vidalia</t>
  </si>
  <si>
    <t>City of Moose Lake</t>
  </si>
  <si>
    <t>City of Laurinburg</t>
  </si>
  <si>
    <t>City of Belfast</t>
  </si>
  <si>
    <t>Citizens Communications</t>
  </si>
  <si>
    <t>Cindy A. Huber</t>
  </si>
  <si>
    <t>Cim Tel Cable</t>
  </si>
  <si>
    <t>Christine Lalonde</t>
  </si>
  <si>
    <t>Choice Communications, LLC</t>
  </si>
  <si>
    <t>Chickamauga Telephone Corporation</t>
  </si>
  <si>
    <t>Chatham Wireless LLC</t>
  </si>
  <si>
    <t>Charles L. Manto</t>
  </si>
  <si>
    <t>Chad Strausbaugh</t>
  </si>
  <si>
    <t>CenturyLink</t>
  </si>
  <si>
    <t>Central Virginia Electric Cooperative</t>
  </si>
  <si>
    <t>Central Utah Telephone</t>
  </si>
  <si>
    <t>Cambridge Telephone Company</t>
  </si>
  <si>
    <t>Callaway Electric Cooperative</t>
  </si>
  <si>
    <t>Callaway Electric - Consolidated Electric - Kingdom Technology Solutions Inc.</t>
  </si>
  <si>
    <t>California Broadband Cooperative</t>
  </si>
  <si>
    <t>Cal.net, Inc.</t>
  </si>
  <si>
    <t>C-M-L Telephone Cooperative Association</t>
  </si>
  <si>
    <t>C Spire</t>
  </si>
  <si>
    <t>Buckeye Rural Electric Cooperative</t>
  </si>
  <si>
    <t>Bruce Telephone Company</t>
  </si>
  <si>
    <t>Bright Fiber Network LLC</t>
  </si>
  <si>
    <t>Brian Corzilius</t>
  </si>
  <si>
    <t>Brenda Shepard</t>
  </si>
  <si>
    <t>Breanne Hee</t>
  </si>
  <si>
    <t>Brazoria Telephone Company, Inc.</t>
  </si>
  <si>
    <t>Blue Wireless</t>
  </si>
  <si>
    <t>BitterRoot Economic Development District</t>
  </si>
  <si>
    <t>Big River Telephone</t>
  </si>
  <si>
    <t>Biddeford Internet Corporation</t>
  </si>
  <si>
    <t>Beehive Telephone Company, Inc., Nevada</t>
  </si>
  <si>
    <t>Beehive Telephone Company, Inc. UT</t>
  </si>
  <si>
    <t>Bay Creek Communications, LLC</t>
  </si>
  <si>
    <t>Baca Valley Telephone Company, Inc.</t>
  </si>
  <si>
    <t>Atlas Telephone Company</t>
  </si>
  <si>
    <t>Athena Broadband</t>
  </si>
  <si>
    <t>Associate Partners</t>
  </si>
  <si>
    <t>Amplex Electric, Inc.</t>
  </si>
  <si>
    <t>Alma Telephone Company</t>
  </si>
  <si>
    <t>Allen Pooley</t>
  </si>
  <si>
    <t>All West Communications, Inc.</t>
  </si>
  <si>
    <t>Alex Telthorst</t>
  </si>
  <si>
    <t>Alenco Communications, Inc. (ACI)</t>
  </si>
  <si>
    <t>Al-Call</t>
  </si>
  <si>
    <t>Aeneas Communications, LLC</t>
  </si>
  <si>
    <t>Adaptrum, Inc.</t>
  </si>
  <si>
    <t>ATLINK SERVICES LLC</t>
  </si>
  <si>
    <t>ARIZONA NEVADA TOWER CORP.</t>
  </si>
  <si>
    <t>ALSAT Wireless</t>
  </si>
  <si>
    <t>4ip Technology &amp; Media, LLC</t>
  </si>
  <si>
    <t>2</t>
  </si>
  <si>
    <t>3</t>
  </si>
  <si>
    <t>6</t>
  </si>
  <si>
    <t>5</t>
  </si>
  <si>
    <t>18</t>
  </si>
  <si>
    <t>4</t>
  </si>
  <si>
    <t>9</t>
  </si>
  <si>
    <t>12</t>
  </si>
  <si>
    <t>1</t>
  </si>
  <si>
    <t>17</t>
  </si>
  <si>
    <t>20</t>
  </si>
  <si>
    <t>19</t>
  </si>
  <si>
    <t>7</t>
  </si>
  <si>
    <t>14</t>
  </si>
  <si>
    <t>86</t>
  </si>
  <si>
    <t>15</t>
  </si>
  <si>
    <t>22</t>
  </si>
  <si>
    <t>13</t>
  </si>
  <si>
    <t>21</t>
  </si>
  <si>
    <t>8</t>
  </si>
  <si>
    <t>65</t>
  </si>
  <si>
    <t>31</t>
  </si>
  <si>
    <t>11</t>
  </si>
  <si>
    <t>10</t>
  </si>
  <si>
    <t>77</t>
  </si>
  <si>
    <t>36</t>
  </si>
  <si>
    <t>24</t>
  </si>
  <si>
    <t>84</t>
  </si>
  <si>
    <t>603</t>
  </si>
  <si>
    <t>187</t>
  </si>
  <si>
    <t>26</t>
  </si>
  <si>
    <t>59</t>
  </si>
  <si>
    <t>28</t>
  </si>
  <si>
    <t>130</t>
  </si>
  <si>
    <t>54</t>
  </si>
  <si>
    <t>39</t>
  </si>
  <si>
    <t>Filer Name in ECFS</t>
  </si>
  <si>
    <t>Entity Name (if different than Filer Name in ECFS)</t>
  </si>
  <si>
    <t>Wilkes Communications, Inc.</t>
  </si>
  <si>
    <t>Otsego Electric Cooperative, Inc.</t>
  </si>
  <si>
    <t>Donald J. Evans</t>
  </si>
  <si>
    <t>Medicine Park Telephone Company</t>
  </si>
  <si>
    <t>Schaller Telephone Company</t>
  </si>
  <si>
    <t>AirMax Internet, LLC</t>
  </si>
  <si>
    <t>Wichita Online</t>
  </si>
  <si>
    <t>S&amp;A Telephone Company</t>
  </si>
  <si>
    <t>Patricia A. Groot</t>
  </si>
  <si>
    <t>Allens TV Cable Service Inc</t>
  </si>
  <si>
    <t>LiveAir Networks</t>
  </si>
  <si>
    <t>Great Western Alliance Group Inc</t>
  </si>
  <si>
    <t>Country Vision Cable</t>
  </si>
  <si>
    <t>Bloomingdale Communications, Inc.</t>
  </si>
  <si>
    <t>BearCreek Networks, LLC</t>
  </si>
  <si>
    <t>Ogden Telephone Company</t>
  </si>
  <si>
    <t>OTZ Telephone Cooperative</t>
  </si>
  <si>
    <t>Comlink LLC</t>
  </si>
  <si>
    <t>Winthrop Telephone Company</t>
  </si>
  <si>
    <t>Vistabeam</t>
  </si>
  <si>
    <t>Sugar Grove Community</t>
  </si>
  <si>
    <t>Sandwich Isles Communications</t>
  </si>
  <si>
    <t>Runestone Telecom Association</t>
  </si>
  <si>
    <t>Piscataquis County Economic Development Council</t>
  </si>
  <si>
    <t>Northeast Nebraska Telephone Company</t>
  </si>
  <si>
    <t>Navajo Nation Northern Regional Business Development Office</t>
  </si>
  <si>
    <t>Minnesota Valley Telephone Company</t>
  </si>
  <si>
    <t>Michael Ciriello</t>
  </si>
  <si>
    <t>Coon Creek Telephone Company</t>
  </si>
  <si>
    <t>Carolina Mountain Cablevision, Inc.</t>
  </si>
  <si>
    <t>Carol Miller</t>
  </si>
  <si>
    <t>Atlantic Telecom Multimedia Consolidated, LLC</t>
  </si>
  <si>
    <t>NC</t>
  </si>
  <si>
    <t>GA</t>
  </si>
  <si>
    <t>TX</t>
  </si>
  <si>
    <t>WA</t>
  </si>
  <si>
    <t>CA</t>
  </si>
  <si>
    <t>AR</t>
  </si>
  <si>
    <t>KS</t>
  </si>
  <si>
    <t>IN</t>
  </si>
  <si>
    <t>VA</t>
  </si>
  <si>
    <t>OH</t>
  </si>
  <si>
    <t>CT</t>
  </si>
  <si>
    <t>IA</t>
  </si>
  <si>
    <t>WV</t>
  </si>
  <si>
    <t>MD</t>
  </si>
  <si>
    <t>KY</t>
  </si>
  <si>
    <t>NY</t>
  </si>
  <si>
    <t>NE</t>
  </si>
  <si>
    <t>IL,MO</t>
  </si>
  <si>
    <t>CO</t>
  </si>
  <si>
    <t>MI</t>
  </si>
  <si>
    <t>OR</t>
  </si>
  <si>
    <t>Expression of Interest (2 pages)</t>
  </si>
  <si>
    <t>Diode Cable, Diode Telecom</t>
  </si>
  <si>
    <t>Clearwave Communications</t>
  </si>
  <si>
    <t>Delta Telephone Co.</t>
  </si>
  <si>
    <t>Minburn Telephone Company</t>
  </si>
  <si>
    <t>Dunkirk &amp; Fredonia Telephone Company</t>
  </si>
  <si>
    <t>Calloway Electric, Kingdom Technology Solutions</t>
  </si>
  <si>
    <t>Greenlight Community Broadband</t>
  </si>
  <si>
    <t>Larry Joe Harless Community Center’s</t>
  </si>
  <si>
    <t>Quantum Communications</t>
  </si>
  <si>
    <t>AgUpLink, LLC and its subsidiary, Ag Technologies</t>
  </si>
  <si>
    <t>STRATA Networks</t>
  </si>
  <si>
    <t>State(s)</t>
  </si>
  <si>
    <t>WY</t>
  </si>
  <si>
    <t>IL</t>
  </si>
  <si>
    <t>AR, MO</t>
  </si>
  <si>
    <t>MS</t>
  </si>
  <si>
    <t>ID</t>
  </si>
  <si>
    <t>WI</t>
  </si>
  <si>
    <t>MN</t>
  </si>
  <si>
    <t>OK</t>
  </si>
  <si>
    <t>IO</t>
  </si>
  <si>
    <t>LA</t>
  </si>
  <si>
    <t>AL</t>
  </si>
  <si>
    <t>ME</t>
  </si>
  <si>
    <t>SC</t>
  </si>
  <si>
    <t>VA,MD, WV</t>
  </si>
  <si>
    <t>UT</t>
  </si>
  <si>
    <t>TN</t>
  </si>
  <si>
    <t>PR</t>
  </si>
  <si>
    <t>TX,NM,OK</t>
  </si>
  <si>
    <t>RI</t>
  </si>
  <si>
    <t>TX,NM</t>
  </si>
  <si>
    <t>NH</t>
  </si>
  <si>
    <t>AK</t>
  </si>
  <si>
    <t>ME,VT,WV,MA</t>
  </si>
  <si>
    <t>WY,ID</t>
  </si>
  <si>
    <t>Country Connections</t>
  </si>
  <si>
    <t>State Library of Kansas</t>
  </si>
  <si>
    <t>Project 17</t>
  </si>
  <si>
    <t>Eventis</t>
  </si>
  <si>
    <t>Fairmont Marion County Transit Authority</t>
  </si>
  <si>
    <t>Martin County, NC</t>
  </si>
  <si>
    <t>NM</t>
  </si>
  <si>
    <t>MT</t>
  </si>
  <si>
    <t>GA, SC</t>
  </si>
  <si>
    <t>Yadkin Valley Telephone Membership Corporation</t>
  </si>
  <si>
    <t>AirLink Internet Services</t>
  </si>
  <si>
    <t>Broadband Corp</t>
  </si>
  <si>
    <t>Wheatland Broadband</t>
  </si>
  <si>
    <t>Ensign Technologies LLC</t>
  </si>
  <si>
    <t>Chaltel Ltd.</t>
  </si>
  <si>
    <t>Black Earth Telephone Co., LLC</t>
  </si>
  <si>
    <t>City of Holly Springs</t>
  </si>
  <si>
    <t>City of Old Town</t>
  </si>
  <si>
    <t>Kashia Band of Pomo Indians of Stewarts Point Rancheria</t>
  </si>
  <si>
    <t>ND</t>
  </si>
  <si>
    <t>MA</t>
  </si>
  <si>
    <t>VA, MD</t>
  </si>
  <si>
    <t>OH, IN</t>
  </si>
  <si>
    <t>WI, TN</t>
  </si>
  <si>
    <t>IA, SD</t>
  </si>
  <si>
    <t>Northwest Colorado Broadband</t>
  </si>
  <si>
    <t>United Telephone Association</t>
  </si>
  <si>
    <t>Nexterra Systems</t>
  </si>
  <si>
    <t>AZ</t>
  </si>
  <si>
    <t>TX, OK</t>
  </si>
  <si>
    <t>ND,SD,MN</t>
  </si>
  <si>
    <t>Horizon Cable TV,Inc.</t>
  </si>
  <si>
    <t>Baldwin Broadband, LLC</t>
  </si>
  <si>
    <t>Valley Electric Association</t>
  </si>
  <si>
    <t>Interior Telephone Company</t>
  </si>
  <si>
    <t>Harrison REMC</t>
  </si>
  <si>
    <t>WY, SD</t>
  </si>
  <si>
    <t>Bluefield Area Transit</t>
  </si>
  <si>
    <t>NV</t>
  </si>
  <si>
    <t>KS, CO</t>
  </si>
  <si>
    <t>MN, WI, ND, IA, MT, KS, NE</t>
  </si>
  <si>
    <t>CC Communications</t>
  </si>
  <si>
    <t>City of Marina CA</t>
  </si>
  <si>
    <t>Town of Red Rock, CO</t>
  </si>
  <si>
    <t>Quileute Tribal Council</t>
  </si>
  <si>
    <t>LA,TX</t>
  </si>
  <si>
    <t>TX,OK</t>
  </si>
  <si>
    <t>Tednology Corporation</t>
  </si>
  <si>
    <t>Easton Cable</t>
  </si>
  <si>
    <t>http://apps.fcc.gov/ecfs/document/view?id=7521089754</t>
  </si>
  <si>
    <t>http://apps.fcc.gov/ecfs/document/view?id=7521089405</t>
  </si>
  <si>
    <t>http://apps.fcc.gov/ecfs/document/view?id=7521089373</t>
  </si>
  <si>
    <t>Custer City Tel Coop</t>
  </si>
  <si>
    <t>Chippewa Valley Electric Coop</t>
  </si>
  <si>
    <t>Campti-Pleasant Hill Tel</t>
  </si>
  <si>
    <t>ILL</t>
  </si>
  <si>
    <t>KN</t>
  </si>
  <si>
    <t>Co</t>
  </si>
  <si>
    <t>Kent County, Maryland</t>
  </si>
  <si>
    <t>RS Fiber Cooperative</t>
  </si>
  <si>
    <t>Page County, Virginia</t>
  </si>
  <si>
    <t>Western Colorado IT Cooperative</t>
  </si>
  <si>
    <t>GA, TN</t>
  </si>
  <si>
    <t>PA</t>
  </si>
  <si>
    <t>ShoreWaves, LLC</t>
  </si>
  <si>
    <t>ND,SD</t>
  </si>
  <si>
    <t>IA, ID, MT, NE, SD, MI</t>
  </si>
  <si>
    <t>SmarterBroadband</t>
  </si>
  <si>
    <t>VA, MD, WV</t>
  </si>
  <si>
    <t>Big Red Communications</t>
  </si>
  <si>
    <t>DeSoto County MS</t>
  </si>
  <si>
    <t>Leech Lake Telecommunications Company</t>
  </si>
  <si>
    <t>Florida Regional Consortia</t>
  </si>
  <si>
    <t>Lincolnville Networks</t>
  </si>
  <si>
    <t>RocketComm WiFi</t>
  </si>
  <si>
    <t>SD</t>
  </si>
  <si>
    <t>IA, MO</t>
  </si>
  <si>
    <t>OK, KS</t>
  </si>
  <si>
    <t>GA, NC</t>
  </si>
  <si>
    <t>Minnesota Telecommunications</t>
  </si>
  <si>
    <t>Northeast Oklahoma Electric Cooperative</t>
  </si>
  <si>
    <t>Mountain Zone TV Systems (Mountain Zone)</t>
  </si>
  <si>
    <t>MO, ND</t>
  </si>
  <si>
    <t>Nelson Cable, Inc.</t>
  </si>
  <si>
    <t>Mid-Shore Regional Council</t>
  </si>
  <si>
    <t>Springport Telephone Co.</t>
  </si>
  <si>
    <t>Pioneer Telephone Cooperative, Inc.</t>
  </si>
  <si>
    <t>Town of Greenfield, MA</t>
  </si>
  <si>
    <t>EveryoneOn</t>
  </si>
  <si>
    <t>ID,WY,MO</t>
  </si>
  <si>
    <t>Eastern Shore of Virginia Broadband Authority</t>
  </si>
  <si>
    <t>IN,IL,MO</t>
  </si>
  <si>
    <t>KY,TN</t>
  </si>
  <si>
    <t>Mission Hill Township</t>
  </si>
  <si>
    <t>AR,TX,LA</t>
  </si>
  <si>
    <t>Southern Montana Telephone</t>
  </si>
  <si>
    <t>Rappahannock County</t>
  </si>
  <si>
    <t>VT</t>
  </si>
  <si>
    <t>Clear Creek and Gilpin Counties</t>
  </si>
  <si>
    <t>VA, KY</t>
  </si>
  <si>
    <t>AR, OK</t>
  </si>
  <si>
    <t>Upper Peninsula Telephone Company</t>
  </si>
  <si>
    <t>FL</t>
  </si>
  <si>
    <t>Colorado Central Telecom</t>
  </si>
  <si>
    <t>Queen Anne's County, MD</t>
  </si>
  <si>
    <t>Twin Valley Communications, Inc.</t>
  </si>
  <si>
    <t>Suddenlink Communications</t>
  </si>
  <si>
    <t>Southern Ohio Health Care Network</t>
  </si>
  <si>
    <t>South Central Telecom</t>
  </si>
  <si>
    <t>South Central Rural Telephone Coop</t>
  </si>
  <si>
    <t>Shawnee Communications</t>
  </si>
  <si>
    <t>Nez Perce Tribe</t>
  </si>
  <si>
    <t>Lennon Telephone Company and TVC, Inc.</t>
  </si>
  <si>
    <t>Lennon Telephone Company</t>
  </si>
  <si>
    <t>Kingdom Technology Services Inc.</t>
  </si>
  <si>
    <t>Hopi Telecommunications, Inc.</t>
  </si>
  <si>
    <t>Hopi Telecommuniations, Inc.</t>
  </si>
  <si>
    <t>George Varn</t>
  </si>
  <si>
    <t>Fiwi communications</t>
  </si>
  <si>
    <t>David S. Suarez</t>
  </si>
  <si>
    <t>Citizens Telephone Cooperative, Inc.</t>
  </si>
  <si>
    <t>Citizens Mutual Telephone Cooperative</t>
  </si>
  <si>
    <t>Charter Communications, Inc.</t>
  </si>
  <si>
    <t>Broad Valley Micro Fiber Networks LLC</t>
  </si>
  <si>
    <t>Barry County Telephone Company</t>
  </si>
  <si>
    <t>State Of Arizona Dept of Administration/ASET</t>
  </si>
  <si>
    <t>Richland Electric Cooperative</t>
  </si>
  <si>
    <t>Merit Network, Inc.</t>
  </si>
  <si>
    <t>Community Electric Cooperative</t>
  </si>
  <si>
    <t>RBSC OK</t>
  </si>
  <si>
    <t>Kky</t>
  </si>
  <si>
    <t>TN, KY</t>
  </si>
  <si>
    <t>Nex-Tech Wireless</t>
  </si>
  <si>
    <t>KS,CO</t>
  </si>
  <si>
    <t>SyncWave</t>
  </si>
  <si>
    <t>NC,GA</t>
  </si>
  <si>
    <t>NC,TN</t>
  </si>
  <si>
    <t>Virginia Broadband Authority</t>
  </si>
  <si>
    <t>De Novo Group</t>
  </si>
  <si>
    <t>Hana Broadband Committee</t>
  </si>
  <si>
    <t>DBA Shelby Broadband</t>
  </si>
  <si>
    <t>Richard L. Tidwell</t>
  </si>
  <si>
    <t>CO, NE</t>
  </si>
  <si>
    <t>Red-Spectrum Communications</t>
  </si>
  <si>
    <t>Ohio Academic Resources Network</t>
  </si>
  <si>
    <t>KY, TN</t>
  </si>
  <si>
    <t>Waverly Light and Power</t>
  </si>
  <si>
    <t>MR Systems Wireless</t>
  </si>
  <si>
    <t>County of Bath</t>
  </si>
  <si>
    <t>CyberNet1</t>
  </si>
  <si>
    <t>d/b/a Cable TV of East AL</t>
  </si>
  <si>
    <t>MT/WY</t>
  </si>
  <si>
    <t>County of McHenry, IL</t>
  </si>
  <si>
    <t>TX, OK, NM</t>
  </si>
  <si>
    <t>Independence Light and Power Telecommunications</t>
  </si>
  <si>
    <t>Shellsburg Cablevision</t>
  </si>
  <si>
    <t>King and Queen County, Virginia</t>
  </si>
  <si>
    <t>IA, MN</t>
  </si>
  <si>
    <t>Haviland Telephone Company</t>
  </si>
  <si>
    <t>J.B.N. Telephone Company</t>
  </si>
  <si>
    <t>Lincoln County Local Technology Planning Team</t>
  </si>
  <si>
    <t>StarLink Cable</t>
  </si>
  <si>
    <t>Ozarks Wireless</t>
  </si>
  <si>
    <t>Texas County Rural Area Information, Inc.</t>
  </si>
  <si>
    <t>Tri-County Council for Southern Maryland</t>
  </si>
  <si>
    <t>Texas Lone Star Network</t>
  </si>
  <si>
    <t>TX, NM</t>
  </si>
  <si>
    <t>Monterey County Office of Education</t>
  </si>
  <si>
    <t>Hamilton Telephone Company</t>
  </si>
  <si>
    <t>LORETTO COMMUNICATION SERVICES, INC.</t>
  </si>
  <si>
    <t>Oregon-Idaho Utilities, Inc.</t>
  </si>
  <si>
    <t>Granby Telephone Company</t>
  </si>
  <si>
    <t>BPS Telephone &amp; BPS Networks</t>
  </si>
  <si>
    <t>Navajo Tribal Utility Authority and Commnet Wireless, LLC</t>
  </si>
  <si>
    <t>AZ, NM, UT</t>
  </si>
  <si>
    <t>Meskwaki Nation</t>
  </si>
  <si>
    <t>Unidentified clients</t>
  </si>
  <si>
    <t>Thomas Jefferson Planning District Commission</t>
  </si>
  <si>
    <t>Arvig Enterprises, Inc.</t>
  </si>
  <si>
    <t>Cableview Communications</t>
  </si>
  <si>
    <t>BlackSheep Computing</t>
  </si>
  <si>
    <t>Reach4 communications</t>
  </si>
  <si>
    <t>Otsego County</t>
  </si>
  <si>
    <t>TN State Legislature</t>
  </si>
  <si>
    <t>South Central Ozark Council of Gov.</t>
  </si>
  <si>
    <t>Delta Country Economic Dev't</t>
  </si>
  <si>
    <t>SAT NET</t>
  </si>
  <si>
    <t>Il</t>
  </si>
  <si>
    <t>Trillium Trust</t>
  </si>
  <si>
    <t>MO,AK</t>
  </si>
  <si>
    <t>Air Fiber</t>
  </si>
  <si>
    <t>WI,MN</t>
  </si>
  <si>
    <t>Start Up Nevada</t>
  </si>
  <si>
    <t>IA,MN</t>
  </si>
  <si>
    <t>CO, WY, ID, NV, TX, OK, NE, IA, SD, KS, MN, IL, WI</t>
  </si>
  <si>
    <t>Home Telecom</t>
  </si>
  <si>
    <t>SD, NE</t>
  </si>
  <si>
    <t>New Hampshire FastRoads and Cheshire County</t>
  </si>
  <si>
    <t>CA Regional Consortia Rural Work Group</t>
  </si>
  <si>
    <t>Vermont Telecommunications Authority</t>
  </si>
  <si>
    <t>Collins Communications, Inc.</t>
  </si>
  <si>
    <t>WVNet, WVU Extension Service, WV DoE, Declaration Networks Group</t>
  </si>
  <si>
    <t>NV, IA, OR</t>
  </si>
  <si>
    <t>Valunet, LLC</t>
  </si>
  <si>
    <t>OK, TX, AR, MO, LA</t>
  </si>
  <si>
    <t>Inland Cellular, LLC</t>
  </si>
  <si>
    <t>TVC, Inc.</t>
  </si>
  <si>
    <t>Callaway Electric, Consolidated Electric, Kingdom Telephone Company</t>
  </si>
  <si>
    <t>Velocity Online</t>
  </si>
  <si>
    <t>WY, NE, CO</t>
  </si>
  <si>
    <t>HI</t>
  </si>
  <si>
    <t>Kerr-Tar Regional Governments</t>
  </si>
  <si>
    <t>State of New Hampshire</t>
  </si>
  <si>
    <t>MO,IA</t>
  </si>
  <si>
    <t>AR,MO,TX</t>
  </si>
  <si>
    <t>Southern Tier East Regional Planning Development Board</t>
  </si>
  <si>
    <t>KS, OK</t>
  </si>
  <si>
    <t>Ducor Telephone Company</t>
  </si>
  <si>
    <t>NY, PA</t>
  </si>
  <si>
    <t>Natel</t>
  </si>
  <si>
    <t>EMEPA</t>
  </si>
  <si>
    <t>ECFiber</t>
  </si>
  <si>
    <t>IST Telecommunications Systems</t>
  </si>
  <si>
    <t>ND, SD</t>
  </si>
  <si>
    <t>DMCI Broadband</t>
  </si>
  <si>
    <t>City of Windom and Southwest MN Broadband Services</t>
  </si>
  <si>
    <t>MS, AL</t>
  </si>
  <si>
    <t>Plains Cooperative Telephone</t>
  </si>
  <si>
    <t>dba Casair</t>
  </si>
  <si>
    <t>Spiral Communications, Farmers Mutual Telephone, Southwest Telephone Exchange, and Chat Mobility</t>
  </si>
  <si>
    <t>Xpressweb Internet Services</t>
  </si>
  <si>
    <t>UT, AZ</t>
  </si>
  <si>
    <t>Redwood Coast Connect Broadband Consortium</t>
  </si>
  <si>
    <t>CO, NM, NV, MT</t>
  </si>
  <si>
    <t>Sierra Telephone Company</t>
  </si>
  <si>
    <t>USVI</t>
  </si>
  <si>
    <t>Texas 10, LLC d/b/a Cellular One and Central Louisiana Cellular</t>
  </si>
  <si>
    <t>TX, LA</t>
  </si>
  <si>
    <t xml:space="preserve">Mukluk Telephone Company </t>
  </si>
  <si>
    <t>Florida Cable</t>
  </si>
  <si>
    <t>DE</t>
  </si>
  <si>
    <t>Commonwealth of Kentucky</t>
  </si>
  <si>
    <t>MN, IA</t>
  </si>
  <si>
    <t>Oznet Solutions</t>
  </si>
  <si>
    <t>Central Ozarks Telecom</t>
  </si>
  <si>
    <t>Airnorth Communications</t>
  </si>
  <si>
    <t>Dannon Project/Hobson City, AL</t>
  </si>
  <si>
    <t>SECOM</t>
  </si>
  <si>
    <t>California Telehealth Network</t>
  </si>
  <si>
    <t>Delaware Division of Libraries</t>
  </si>
  <si>
    <t>UNH Broadband Center of Excellence</t>
  </si>
  <si>
    <t>Town of Middlebury/DNG</t>
  </si>
  <si>
    <t>Air U/DNG</t>
  </si>
  <si>
    <t>West Virginia Network for Educational Telecomputing/DNG</t>
  </si>
  <si>
    <t>Eastern Shore of Virginia Broadband Authority/dng</t>
  </si>
  <si>
    <t>Partnership with the City of Missoula and Missoula County</t>
  </si>
  <si>
    <t>ZCorum</t>
  </si>
  <si>
    <t>Ranch Wireless</t>
  </si>
  <si>
    <t>UT, WY, ID</t>
  </si>
  <si>
    <t>Park County</t>
  </si>
  <si>
    <t>VA, WV</t>
  </si>
  <si>
    <t>Atomsplash</t>
  </si>
  <si>
    <t>VT, NH</t>
  </si>
  <si>
    <t>FireNet1</t>
  </si>
  <si>
    <t>WVVA.Net, Inc.</t>
  </si>
  <si>
    <t>As of 3/26/2014 5pm</t>
  </si>
  <si>
    <t>Nexgen</t>
  </si>
  <si>
    <t>Christensen Communications Company</t>
  </si>
  <si>
    <t>Grand County Board of Commisioner's</t>
  </si>
  <si>
    <t>DNG and Axiom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</si>
</sst>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5" fillId="0" borderId="0" xfId="0" applyFont="1"/>
    <xf numFmtId="0" fontId="8" fillId="0" borderId="0" xfId="34" applyFont="1" applyFill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33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9" fillId="0" borderId="0" xfId="0" applyFont="1" applyFill="1"/>
    <xf numFmtId="0" fontId="10" fillId="2" borderId="1" xfId="0" applyFont="1" applyFill="1" applyBorder="1" applyAlignment="1">
      <alignment horizontal="center" wrapText="1"/>
    </xf>
    <xf numFmtId="0" fontId="4" fillId="0" borderId="0" xfId="0" applyFont="1" applyFill="1" applyBorder="1"/>
    <xf numFmtId="0" fontId="11" fillId="0" borderId="0" xfId="34" applyFont="1" applyFill="1" applyAlignment="1">
      <alignment wrapText="1"/>
    </xf>
    <xf numFmtId="0" fontId="12" fillId="0" borderId="0" xfId="34" applyFont="1" applyFill="1" applyBorder="1" applyAlignment="1">
      <alignment wrapText="1"/>
    </xf>
    <xf numFmtId="0" fontId="11" fillId="0" borderId="0" xfId="34" applyFont="1" applyFill="1" applyAlignment="1">
      <alignment horizontal="center"/>
    </xf>
    <xf numFmtId="0" fontId="11" fillId="0" borderId="0" xfId="34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11" fillId="0" borderId="0" xfId="34" applyFont="1" applyAlignment="1">
      <alignment wrapText="1"/>
    </xf>
    <xf numFmtId="0" fontId="11" fillId="0" borderId="0" xfId="34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12" fillId="0" borderId="0" xfId="0" applyFont="1" applyFill="1" applyBorder="1" applyAlignment="1">
      <alignment wrapText="1"/>
    </xf>
    <xf numFmtId="1" fontId="4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wrapText="1"/>
    </xf>
    <xf numFmtId="1" fontId="4" fillId="0" borderId="0" xfId="0" applyNumberFormat="1" applyFont="1" applyFill="1" applyAlignment="1">
      <alignment horizontal="center"/>
    </xf>
    <xf numFmtId="0" fontId="13" fillId="0" borderId="0" xfId="33" applyFont="1" applyFill="1" applyBorder="1" applyAlignment="1">
      <alignment wrapText="1"/>
    </xf>
    <xf numFmtId="0" fontId="13" fillId="0" borderId="0" xfId="33" applyFont="1" applyFill="1"/>
    <xf numFmtId="0" fontId="14" fillId="0" borderId="0" xfId="34" applyFont="1" applyFill="1" applyBorder="1" applyAlignment="1">
      <alignment wrapText="1"/>
    </xf>
    <xf numFmtId="0" fontId="14" fillId="0" borderId="0" xfId="0" applyFont="1" applyFill="1" applyAlignment="1">
      <alignment horizontal="center"/>
    </xf>
    <xf numFmtId="0" fontId="12" fillId="0" borderId="0" xfId="33" applyFont="1" applyFill="1" applyBorder="1" applyAlignment="1">
      <alignment wrapText="1"/>
    </xf>
    <xf numFmtId="0" fontId="11" fillId="0" borderId="0" xfId="33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5" fillId="0" borderId="0" xfId="0" applyFont="1" applyFill="1" applyBorder="1" applyAlignment="1">
      <alignment wrapText="1"/>
    </xf>
    <xf numFmtId="1" fontId="1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</cellXfs>
  <cellStyles count="38">
    <cellStyle name="Comma 2" xfId="36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/>
    <cellStyle name="Normal" xfId="0" builtinId="0"/>
    <cellStyle name="Normal 2" xfId="34"/>
    <cellStyle name="Normal 2 2" xfId="35"/>
    <cellStyle name="Percent 2" xfId="3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999"/>
  <sheetViews>
    <sheetView tabSelected="1" workbookViewId="0">
      <pane xSplit="1" ySplit="2" topLeftCell="B88" activePane="bottomRight" state="frozenSplit"/>
      <selection pane="topRight" activeCell="B1" sqref="B1"/>
      <selection pane="bottomLeft" activeCell="A9" sqref="A9"/>
      <selection pane="bottomRight" activeCell="E100" sqref="E100"/>
    </sheetView>
  </sheetViews>
  <sheetFormatPr defaultRowHeight="15.6" x14ac:dyDescent="0.3"/>
  <cols>
    <col min="1" max="1" width="33.69921875" style="2" customWidth="1"/>
    <col min="2" max="2" width="27.8984375" customWidth="1"/>
    <col min="3" max="3" width="5.19921875" style="6" customWidth="1"/>
    <col min="4" max="4" width="23.296875" style="5" customWidth="1"/>
    <col min="5" max="5" width="7.5" customWidth="1"/>
  </cols>
  <sheetData>
    <row r="1" spans="1:5" s="1" customFormat="1" x14ac:dyDescent="0.3">
      <c r="A1" s="8" t="s">
        <v>1247</v>
      </c>
      <c r="B1" s="8"/>
      <c r="C1" s="8"/>
      <c r="D1" s="9"/>
      <c r="E1" s="9"/>
    </row>
    <row r="2" spans="1:5" s="12" customFormat="1" ht="94.95" customHeight="1" x14ac:dyDescent="0.3">
      <c r="A2" s="11" t="s">
        <v>890</v>
      </c>
      <c r="B2" s="11" t="s">
        <v>0</v>
      </c>
      <c r="C2" s="11" t="s">
        <v>4</v>
      </c>
      <c r="D2" s="11" t="s">
        <v>891</v>
      </c>
      <c r="E2" s="11" t="s">
        <v>957</v>
      </c>
    </row>
    <row r="3" spans="1:5" s="18" customFormat="1" ht="13.8" x14ac:dyDescent="0.3">
      <c r="A3" s="13" t="s">
        <v>520</v>
      </c>
      <c r="B3" s="14" t="str">
        <f>HYPERLINK("http://apps.fcc.gov/ecfs/document/view?id=7521087807","  (2 pages)")</f>
        <v xml:space="preserve">  (2 pages)</v>
      </c>
      <c r="C3" s="15" t="s">
        <v>854</v>
      </c>
      <c r="D3" s="16"/>
      <c r="E3" s="17" t="s">
        <v>2</v>
      </c>
    </row>
    <row r="4" spans="1:5" s="22" customFormat="1" ht="27.6" x14ac:dyDescent="0.3">
      <c r="A4" s="19" t="s">
        <v>539</v>
      </c>
      <c r="B4" s="14" t="str">
        <f>HYPERLINK("http://apps.fcc.gov/ecfs/document/view?id=7521082514","3 Rivers Telephone Letter of Interest (2 pages)")</f>
        <v>3 Rivers Telephone Letter of Interest (2 pages)</v>
      </c>
      <c r="C4" s="20" t="s">
        <v>854</v>
      </c>
      <c r="D4" s="16"/>
      <c r="E4" s="21" t="s">
        <v>989</v>
      </c>
    </row>
    <row r="5" spans="1:5" s="22" customFormat="1" ht="27.6" x14ac:dyDescent="0.3">
      <c r="A5" s="23" t="s">
        <v>853</v>
      </c>
      <c r="B5" s="24" t="str">
        <f>HYPERLINK("http://apps.fcc.gov/ecfs/document/view?id=7521089727","Expression of Interest Rural Broadband Experiments (3 pages)")</f>
        <v>Expression of Interest Rural Broadband Experiments (3 pages)</v>
      </c>
      <c r="C5" s="25" t="s">
        <v>855</v>
      </c>
      <c r="D5" s="26"/>
      <c r="E5" s="21" t="s">
        <v>926</v>
      </c>
    </row>
    <row r="6" spans="1:5" s="22" customFormat="1" ht="27.6" x14ac:dyDescent="0.3">
      <c r="A6" s="13" t="s">
        <v>242</v>
      </c>
      <c r="B6" s="14" t="str">
        <f>HYPERLINK("http://apps.fcc.gov/ecfs/document/view?id=7521088834","Rural BBand Experiment Letter of Interest (3 pages)")</f>
        <v>Rural BBand Experiment Letter of Interest (3 pages)</v>
      </c>
      <c r="C6" s="15" t="s">
        <v>855</v>
      </c>
      <c r="D6" s="16"/>
      <c r="E6" s="21" t="s">
        <v>963</v>
      </c>
    </row>
    <row r="7" spans="1:5" s="22" customFormat="1" ht="27.6" x14ac:dyDescent="0.3">
      <c r="A7" s="13" t="s">
        <v>132</v>
      </c>
      <c r="B7" s="14" t="str">
        <f>HYPERLINK("http://apps.fcc.gov/ecfs/document/view?id=7521089310","Adams Telsystems LLC Rural CAF EOI (4 pages)")</f>
        <v>Adams Telsystems LLC Rural CAF EOI (4 pages)</v>
      </c>
      <c r="C7" s="15" t="s">
        <v>859</v>
      </c>
      <c r="D7" s="16"/>
      <c r="E7" s="21" t="s">
        <v>941</v>
      </c>
    </row>
    <row r="8" spans="1:5" s="22" customFormat="1" ht="13.8" x14ac:dyDescent="0.3">
      <c r="A8" s="23" t="s">
        <v>849</v>
      </c>
      <c r="B8" s="24" t="str">
        <f>HYPERLINK("http://apps.fcc.gov/ecfs/document/view?id=7521089860","  (4 pages)")</f>
        <v xml:space="preserve">  (4 pages)</v>
      </c>
      <c r="C8" s="21" t="s">
        <v>859</v>
      </c>
      <c r="D8" s="26"/>
      <c r="E8" s="21" t="s">
        <v>1242</v>
      </c>
    </row>
    <row r="9" spans="1:5" s="27" customFormat="1" ht="27.6" x14ac:dyDescent="0.3">
      <c r="A9" s="13" t="s">
        <v>241</v>
      </c>
      <c r="B9" s="14" t="str">
        <f>HYPERLINK("http://apps.fcc.gov/ecfs/document/view?id=7521088992","IP Experiment Expression of Interest eCom Direct Inc  (2 pages)")</f>
        <v>IP Experiment Expression of Interest eCom Direct Inc  (2 pages)</v>
      </c>
      <c r="C9" s="15" t="s">
        <v>854</v>
      </c>
      <c r="D9" s="16"/>
      <c r="E9" s="21" t="s">
        <v>958</v>
      </c>
    </row>
    <row r="10" spans="1:5" s="27" customFormat="1" ht="13.8" x14ac:dyDescent="0.3">
      <c r="A10" s="23" t="s">
        <v>848</v>
      </c>
      <c r="B10" s="24" t="str">
        <f>HYPERLINK("http://apps.fcc.gov/ecfs/document/view?id=7521089107","Expression of Interest (2 pages)")</f>
        <v>Expression of Interest (2 pages)</v>
      </c>
      <c r="C10" s="21" t="s">
        <v>854</v>
      </c>
      <c r="D10" s="26"/>
      <c r="E10" s="21" t="s">
        <v>973</v>
      </c>
    </row>
    <row r="11" spans="1:5" s="27" customFormat="1" ht="27.6" x14ac:dyDescent="0.3">
      <c r="A11" s="19" t="s">
        <v>411</v>
      </c>
      <c r="B11" s="14" t="str">
        <f>HYPERLINK("http://apps.fcc.gov/ecfs/document/view?id=7521088665","  (2 pages)")</f>
        <v xml:space="preserve">  (2 pages)</v>
      </c>
      <c r="C11" s="20" t="s">
        <v>854</v>
      </c>
      <c r="D11" s="16"/>
      <c r="E11" s="21" t="s">
        <v>942</v>
      </c>
    </row>
    <row r="12" spans="1:5" s="27" customFormat="1" ht="27.6" x14ac:dyDescent="0.3">
      <c r="A12" s="13" t="s">
        <v>331</v>
      </c>
      <c r="B12" s="14" t="str">
        <f>HYPERLINK("http://apps.fcc.gov/ecfs/document/view?id=7521088954","Agri Valley Services Inc Expression of Interest (2 pages)")</f>
        <v>Agri Valley Services Inc Expression of Interest (2 pages)</v>
      </c>
      <c r="C12" s="15" t="s">
        <v>854</v>
      </c>
      <c r="D12" s="16"/>
      <c r="E12" s="21" t="s">
        <v>943</v>
      </c>
    </row>
    <row r="13" spans="1:5" s="27" customFormat="1" ht="13.8" x14ac:dyDescent="0.3">
      <c r="A13" s="23" t="s">
        <v>897</v>
      </c>
      <c r="B13" s="24" t="str">
        <f>HYPERLINK("http://apps.fcc.gov/ecfs/document/view?id=7521091411","  (3 pages)")</f>
        <v xml:space="preserve">  (3 pages)</v>
      </c>
      <c r="C13" s="25" t="s">
        <v>855</v>
      </c>
      <c r="D13" s="26"/>
      <c r="E13" s="21" t="s">
        <v>1084</v>
      </c>
    </row>
    <row r="14" spans="1:5" s="27" customFormat="1" ht="13.8" x14ac:dyDescent="0.3">
      <c r="A14" s="23" t="s">
        <v>847</v>
      </c>
      <c r="B14" s="24" t="str">
        <f>HYPERLINK("http://apps.fcc.gov/ecfs/document/view?id=7521089677","  (2 pages)")</f>
        <v xml:space="preserve">  (2 pages)</v>
      </c>
      <c r="C14" s="21" t="s">
        <v>854</v>
      </c>
      <c r="D14" s="26"/>
      <c r="E14" s="21" t="s">
        <v>925</v>
      </c>
    </row>
    <row r="15" spans="1:5" s="27" customFormat="1" ht="13.8" x14ac:dyDescent="0.3">
      <c r="A15" s="23" t="s">
        <v>846</v>
      </c>
      <c r="B15" s="24" t="str">
        <f>HYPERLINK("http://apps.fcc.gov/ecfs/document/view?id=7521089515","  (2 pages)")</f>
        <v xml:space="preserve">  (2 pages)</v>
      </c>
      <c r="C15" s="21" t="s">
        <v>854</v>
      </c>
      <c r="D15" s="26"/>
      <c r="E15" s="21" t="s">
        <v>926</v>
      </c>
    </row>
    <row r="16" spans="1:5" s="27" customFormat="1" ht="41.4" x14ac:dyDescent="0.3">
      <c r="A16" s="23" t="s">
        <v>845</v>
      </c>
      <c r="B16" s="24" t="str">
        <f>HYPERLINK("http://apps.fcc.gov/ecfs/document/view?id=7521089656","Rural Broadband Experiment Expression of Interest Park County (2 pages)")</f>
        <v>Rural Broadband Experiment Expression of Interest Park County (2 pages)</v>
      </c>
      <c r="C16" s="21" t="s">
        <v>856</v>
      </c>
      <c r="D16" s="26" t="s">
        <v>1241</v>
      </c>
      <c r="E16" s="21" t="s">
        <v>942</v>
      </c>
    </row>
    <row r="17" spans="1:5" s="27" customFormat="1" ht="13.8" x14ac:dyDescent="0.3">
      <c r="A17" s="23" t="s">
        <v>844</v>
      </c>
      <c r="B17" s="24" t="str">
        <f>HYPERLINK("http://apps.fcc.gov/ecfs/document/view?id=7521089802","Expression of Interest (3 pages)")</f>
        <v>Expression of Interest (3 pages)</v>
      </c>
      <c r="C17" s="21" t="s">
        <v>855</v>
      </c>
      <c r="D17" s="26"/>
      <c r="E17" s="21" t="s">
        <v>1240</v>
      </c>
    </row>
    <row r="18" spans="1:5" s="28" customFormat="1" ht="13.8" x14ac:dyDescent="0.3">
      <c r="A18" s="13" t="s">
        <v>519</v>
      </c>
      <c r="B18" s="14" t="str">
        <f>HYPERLINK("http://apps.fcc.gov/ecfs/document/view?id=7521088070","Expression of Interest (3 pages)")</f>
        <v>Expression of Interest (3 pages)</v>
      </c>
      <c r="C18" s="15" t="s">
        <v>855</v>
      </c>
      <c r="D18" s="16"/>
      <c r="E18" s="17" t="s">
        <v>935</v>
      </c>
    </row>
    <row r="19" spans="1:5" s="27" customFormat="1" ht="13.8" x14ac:dyDescent="0.3">
      <c r="A19" s="13" t="s">
        <v>330</v>
      </c>
      <c r="B19" s="14" t="str">
        <f>HYPERLINK("http://apps.fcc.gov/ecfs/document/view?id=7521088791","  (14 pages)")</f>
        <v xml:space="preserve">  (14 pages)</v>
      </c>
      <c r="C19" s="15" t="s">
        <v>867</v>
      </c>
      <c r="D19" s="16"/>
      <c r="E19" s="21" t="s">
        <v>943</v>
      </c>
    </row>
    <row r="20" spans="1:5" s="27" customFormat="1" ht="27.6" x14ac:dyDescent="0.3">
      <c r="A20" s="13" t="s">
        <v>131</v>
      </c>
      <c r="B20" s="14" t="str">
        <f>HYPERLINK("http://apps.fcc.gov/ecfs/document/view?id=7521089321","Allegany County Board of Education Expression of Interest (4 pages)")</f>
        <v>Allegany County Board of Education Expression of Interest (4 pages)</v>
      </c>
      <c r="C20" s="15" t="s">
        <v>859</v>
      </c>
      <c r="D20" s="16"/>
      <c r="E20" s="21" t="s">
        <v>937</v>
      </c>
    </row>
    <row r="21" spans="1:5" s="27" customFormat="1" ht="13.8" x14ac:dyDescent="0.3">
      <c r="A21" s="23" t="s">
        <v>843</v>
      </c>
      <c r="B21" s="24" t="str">
        <f>HYPERLINK("http://apps.fcc.gov/ecfs/document/view?id=7521089528","  (11 pages)")</f>
        <v xml:space="preserve">  (11 pages)</v>
      </c>
      <c r="C21" s="21" t="s">
        <v>876</v>
      </c>
      <c r="D21" s="26" t="s">
        <v>1239</v>
      </c>
      <c r="E21" s="21" t="s">
        <v>926</v>
      </c>
    </row>
    <row r="22" spans="1:5" s="28" customFormat="1" ht="27.6" x14ac:dyDescent="0.3">
      <c r="A22" s="23" t="s">
        <v>901</v>
      </c>
      <c r="B22" s="24" t="str">
        <f>HYPERLINK("http://apps.fcc.gov/ecfs/document/view?id=7521090927","ATVC_FCC Rural Experiment EOI _10 90 (2 pages)")</f>
        <v>ATVC_FCC Rural Experiment EOI _10 90 (2 pages)</v>
      </c>
      <c r="C22" s="25" t="s">
        <v>854</v>
      </c>
      <c r="D22" s="26"/>
      <c r="E22" s="21" t="s">
        <v>967</v>
      </c>
    </row>
    <row r="23" spans="1:5" s="27" customFormat="1" ht="27.6" x14ac:dyDescent="0.3">
      <c r="A23" s="13" t="s">
        <v>240</v>
      </c>
      <c r="B23" s="14" t="str">
        <f>HYPERLINK("http://apps.fcc.gov/ecfs/document/view?id=7521089014","IP Experiment Expression of Interest Access Wisconsin Group (7 pages)")</f>
        <v>IP Experiment Expression of Interest Access Wisconsin Group (7 pages)</v>
      </c>
      <c r="C23" s="15" t="s">
        <v>866</v>
      </c>
      <c r="D23" s="16"/>
      <c r="E23" s="21" t="s">
        <v>964</v>
      </c>
    </row>
    <row r="24" spans="1:5" s="27" customFormat="1" ht="27.6" x14ac:dyDescent="0.3">
      <c r="A24" s="13" t="s">
        <v>133</v>
      </c>
      <c r="B24" s="14" t="str">
        <f>HYPERLINK("http://apps.fcc.gov/ecfs/document/view?id=7521089421","ALLO Communications Expression of Interest (5 pages)")</f>
        <v>ALLO Communications Expression of Interest (5 pages)</v>
      </c>
      <c r="C24" s="15" t="s">
        <v>857</v>
      </c>
      <c r="D24" s="16"/>
      <c r="E24" s="21" t="s">
        <v>940</v>
      </c>
    </row>
    <row r="25" spans="1:5" s="27" customFormat="1" ht="13.8" x14ac:dyDescent="0.3">
      <c r="A25" s="23" t="s">
        <v>842</v>
      </c>
      <c r="B25" s="24" t="str">
        <f>HYPERLINK("http://apps.fcc.gov/ecfs/document/view?id=7521089673","  (2 pages)")</f>
        <v xml:space="preserve">  (2 pages)</v>
      </c>
      <c r="C25" s="21" t="s">
        <v>854</v>
      </c>
      <c r="D25" s="26"/>
      <c r="E25" s="21" t="s">
        <v>925</v>
      </c>
    </row>
    <row r="26" spans="1:5" s="27" customFormat="1" ht="13.8" x14ac:dyDescent="0.3">
      <c r="A26" s="23" t="s">
        <v>852</v>
      </c>
      <c r="B26" s="24" t="str">
        <f>HYPERLINK("http://apps.fcc.gov/ecfs/document/view?id=7521089714","  (4 pages)")</f>
        <v xml:space="preserve">  (4 pages)</v>
      </c>
      <c r="C26" s="21" t="s">
        <v>859</v>
      </c>
      <c r="D26" s="26"/>
      <c r="E26" s="21" t="s">
        <v>2</v>
      </c>
    </row>
    <row r="27" spans="1:5" s="27" customFormat="1" ht="27.6" x14ac:dyDescent="0.3">
      <c r="A27" s="19" t="s">
        <v>410</v>
      </c>
      <c r="B27" s="14" t="str">
        <f>HYPERLINK("http://apps.fcc.gov/ecfs/document/view?id=7521088728","Rural BBand Experiment Letter of Interest (2 pages)")</f>
        <v>Rural BBand Experiment Letter of Interest (2 pages)</v>
      </c>
      <c r="C27" s="20" t="s">
        <v>854</v>
      </c>
      <c r="D27" s="16"/>
      <c r="E27" s="21" t="s">
        <v>963</v>
      </c>
    </row>
    <row r="28" spans="1:5" s="27" customFormat="1" ht="13.8" x14ac:dyDescent="0.3">
      <c r="A28" s="23" t="s">
        <v>841</v>
      </c>
      <c r="B28" s="24" t="str">
        <f>HYPERLINK("http://apps.fcc.gov/ecfs/document/view?id=7521089908","Expression of Interest (2 pages)")</f>
        <v>Expression of Interest (2 pages)</v>
      </c>
      <c r="C28" s="21" t="s">
        <v>854</v>
      </c>
      <c r="D28" s="26"/>
      <c r="E28" s="21" t="s">
        <v>933</v>
      </c>
    </row>
    <row r="29" spans="1:5" s="27" customFormat="1" ht="13.8" x14ac:dyDescent="0.3">
      <c r="A29" s="13" t="s">
        <v>130</v>
      </c>
      <c r="B29" s="14" t="str">
        <f>HYPERLINK("http://apps.fcc.gov/ecfs/document/view?id=7521089369","  (1 page)")</f>
        <v xml:space="preserve">  (1 page)</v>
      </c>
      <c r="C29" s="15" t="s">
        <v>862</v>
      </c>
      <c r="D29" s="16" t="s">
        <v>1051</v>
      </c>
      <c r="E29" s="21" t="s">
        <v>940</v>
      </c>
    </row>
    <row r="30" spans="1:5" s="27" customFormat="1" ht="27.6" x14ac:dyDescent="0.3">
      <c r="A30" s="13" t="s">
        <v>239</v>
      </c>
      <c r="B30" s="14" t="str">
        <f>HYPERLINK("http://apps.fcc.gov/ecfs/document/view?id=7521089144","  (3 pages)")</f>
        <v xml:space="preserve">  (3 pages)</v>
      </c>
      <c r="C30" s="15" t="s">
        <v>855</v>
      </c>
      <c r="D30" s="16" t="s">
        <v>1249</v>
      </c>
      <c r="E30" s="21" t="s">
        <v>964</v>
      </c>
    </row>
    <row r="31" spans="1:5" s="27" customFormat="1" ht="13.8" x14ac:dyDescent="0.3">
      <c r="A31" s="19" t="s">
        <v>409</v>
      </c>
      <c r="B31" s="14" t="str">
        <f>HYPERLINK("http://apps.fcc.gov/ecfs/document/view?id=7521088663","  (4 pages)")</f>
        <v xml:space="preserve">  (4 pages)</v>
      </c>
      <c r="C31" s="20" t="s">
        <v>859</v>
      </c>
      <c r="D31" s="16"/>
      <c r="E31" s="21" t="s">
        <v>976</v>
      </c>
    </row>
    <row r="32" spans="1:5" s="27" customFormat="1" ht="13.8" x14ac:dyDescent="0.3">
      <c r="A32" s="23" t="s">
        <v>851</v>
      </c>
      <c r="B32" s="24" t="str">
        <f>HYPERLINK("http://apps.fcc.gov/ecfs/document/view?id=7521089742","  (4 pages)")</f>
        <v xml:space="preserve">  (4 pages)</v>
      </c>
      <c r="C32" s="21" t="s">
        <v>859</v>
      </c>
      <c r="D32" s="26" t="s">
        <v>1243</v>
      </c>
      <c r="E32" s="21" t="s">
        <v>1020</v>
      </c>
    </row>
    <row r="33" spans="1:5" s="27" customFormat="1" ht="13.8" x14ac:dyDescent="0.3">
      <c r="A33" s="13" t="s">
        <v>129</v>
      </c>
      <c r="B33" s="14" t="str">
        <f>HYPERLINK("http://apps.fcc.gov/ecfs/document/view?id=7521089402","  (9 pages)")</f>
        <v xml:space="preserve">  (9 pages)</v>
      </c>
      <c r="C33" s="15" t="s">
        <v>860</v>
      </c>
      <c r="D33" s="16"/>
      <c r="E33" s="21" t="s">
        <v>926</v>
      </c>
    </row>
    <row r="34" spans="1:5" s="27" customFormat="1" ht="27.6" x14ac:dyDescent="0.3">
      <c r="A34" s="13" t="s">
        <v>329</v>
      </c>
      <c r="B34" s="14" t="str">
        <f>HYPERLINK("http://apps.fcc.gov/ecfs/document/view?id=7521088820","Rural Broadband Experiment Expression of Interest Filing (3 pages)")</f>
        <v>Rural Broadband Experiment Expression of Interest Filing (3 pages)</v>
      </c>
      <c r="C34" s="15" t="s">
        <v>855</v>
      </c>
      <c r="D34" s="16"/>
      <c r="E34" s="21" t="s">
        <v>936</v>
      </c>
    </row>
    <row r="35" spans="1:5" s="27" customFormat="1" ht="27.6" x14ac:dyDescent="0.3">
      <c r="A35" s="23" t="s">
        <v>840</v>
      </c>
      <c r="B35" s="24" t="str">
        <f>HYPERLINK("http://apps.fcc.gov/ecfs/document/view?id=7521089663","Associate Partners Expression of Interest WC 10 90 (2 pages)")</f>
        <v>Associate Partners Expression of Interest WC 10 90 (2 pages)</v>
      </c>
      <c r="C35" s="21" t="s">
        <v>854</v>
      </c>
      <c r="D35" s="26" t="s">
        <v>1238</v>
      </c>
      <c r="E35" s="21" t="s">
        <v>925</v>
      </c>
    </row>
    <row r="36" spans="1:5" s="27" customFormat="1" ht="27.6" x14ac:dyDescent="0.3">
      <c r="A36" s="23" t="s">
        <v>839</v>
      </c>
      <c r="B36" s="24" t="str">
        <f>HYPERLINK("http://apps.fcc.gov/ecfs/document/view?id=7521089855","IP Experiment Expression of Interest Athena Broadband (2 pages)")</f>
        <v>IP Experiment Expression of Interest Athena Broadband (2 pages)</v>
      </c>
      <c r="C36" s="21" t="s">
        <v>854</v>
      </c>
      <c r="D36" s="26"/>
      <c r="E36" s="21" t="s">
        <v>973</v>
      </c>
    </row>
    <row r="37" spans="1:5" s="27" customFormat="1" ht="13.8" x14ac:dyDescent="0.3">
      <c r="A37" s="13" t="s">
        <v>238</v>
      </c>
      <c r="B37" s="14" t="str">
        <f>HYPERLINK("http://apps.fcc.gov/ecfs/document/view?id=7521089186","Alliance Rural CAF EOI (5 pages)")</f>
        <v>Alliance Rural CAF EOI (5 pages)</v>
      </c>
      <c r="C37" s="15" t="s">
        <v>857</v>
      </c>
      <c r="D37" s="16"/>
      <c r="E37" s="21" t="s">
        <v>925</v>
      </c>
    </row>
    <row r="38" spans="1:5" s="27" customFormat="1" ht="27.6" x14ac:dyDescent="0.3">
      <c r="A38" s="23" t="s">
        <v>923</v>
      </c>
      <c r="B38" s="24" t="str">
        <f>HYPERLINK("http://apps.fcc.gov/ecfs/document/view?id=7521090027","Expression of Interest (4 pages)")</f>
        <v>Expression of Interest (4 pages)</v>
      </c>
      <c r="C38" s="25" t="s">
        <v>859</v>
      </c>
      <c r="D38" s="26"/>
      <c r="E38" s="21" t="s">
        <v>924</v>
      </c>
    </row>
    <row r="39" spans="1:5" s="27" customFormat="1" ht="13.8" x14ac:dyDescent="0.3">
      <c r="A39" s="23" t="s">
        <v>838</v>
      </c>
      <c r="B39" s="24" t="str">
        <f>HYPERLINK("http://apps.fcc.gov/ecfs/document/view?id=7521089575","  (3 pages)")</f>
        <v xml:space="preserve">  (3 pages)</v>
      </c>
      <c r="C39" s="21" t="s">
        <v>855</v>
      </c>
      <c r="D39" s="26"/>
      <c r="E39" s="21" t="s">
        <v>965</v>
      </c>
    </row>
    <row r="40" spans="1:5" s="27" customFormat="1" ht="27.6" x14ac:dyDescent="0.3">
      <c r="A40" s="23" t="s">
        <v>850</v>
      </c>
      <c r="B40" s="24" t="str">
        <f>HYPERLINK("http://apps.fcc.gov/ecfs/document/view?id=7521089681","ATLINK SERVICES LLC Expression of Intent regarding IP Trials (9 pages)")</f>
        <v>ATLINK SERVICES LLC Expression of Intent regarding IP Trials (9 pages)</v>
      </c>
      <c r="C40" s="21" t="s">
        <v>860</v>
      </c>
      <c r="D40" s="26"/>
      <c r="E40" s="21" t="s">
        <v>965</v>
      </c>
    </row>
    <row r="41" spans="1:5" s="27" customFormat="1" ht="13.8" x14ac:dyDescent="0.3">
      <c r="A41" s="13" t="s">
        <v>328</v>
      </c>
      <c r="B41" s="14" t="str">
        <f>HYPERLINK("http://apps.fcc.gov/ecfs/document/view?id=7521088778","Expression of Interest (3 pages)")</f>
        <v>Expression of Interest (3 pages)</v>
      </c>
      <c r="C41" s="15" t="s">
        <v>855</v>
      </c>
      <c r="D41" s="16"/>
      <c r="E41" s="21" t="s">
        <v>964</v>
      </c>
    </row>
    <row r="42" spans="1:5" s="27" customFormat="1" ht="13.8" x14ac:dyDescent="0.3">
      <c r="A42" s="13" t="s">
        <v>128</v>
      </c>
      <c r="B42" s="14" t="str">
        <f>HYPERLINK("http://apps.fcc.gov/ecfs/document/view?id=7521089251","Letter of Interest (3 pages)")</f>
        <v>Letter of Interest (3 pages)</v>
      </c>
      <c r="C42" s="15" t="s">
        <v>855</v>
      </c>
      <c r="D42" s="16" t="s">
        <v>1122</v>
      </c>
      <c r="E42" s="21" t="s">
        <v>938</v>
      </c>
    </row>
    <row r="43" spans="1:5" s="27" customFormat="1" ht="27.6" x14ac:dyDescent="0.3">
      <c r="A43" s="13" t="s">
        <v>237</v>
      </c>
      <c r="B43" s="14" t="str">
        <f>HYPERLINK("http://apps.fcc.gov/ecfs/document/view?id=7521089043","Rural Broadband Experiments Letter of Interest (3 pages)")</f>
        <v>Rural Broadband Experiments Letter of Interest (3 pages)</v>
      </c>
      <c r="C43" s="15" t="s">
        <v>855</v>
      </c>
      <c r="D43" s="16"/>
      <c r="E43" s="21" t="s">
        <v>969</v>
      </c>
    </row>
    <row r="44" spans="1:5" s="27" customFormat="1" ht="27.6" x14ac:dyDescent="0.3">
      <c r="A44" s="23" t="s">
        <v>837</v>
      </c>
      <c r="B44" s="24" t="str">
        <f>HYPERLINK("http://apps.fcc.gov/ecfs/document/view?id=7521089833","Rural Broadband Experiment Expression of Interest (3 pages)")</f>
        <v>Rural Broadband Experiment Expression of Interest (3 pages)</v>
      </c>
      <c r="C44" s="21" t="s">
        <v>855</v>
      </c>
      <c r="D44" s="26"/>
      <c r="E44" s="21" t="s">
        <v>988</v>
      </c>
    </row>
    <row r="45" spans="1:5" s="27" customFormat="1" ht="41.4" x14ac:dyDescent="0.3">
      <c r="A45" s="23" t="s">
        <v>1014</v>
      </c>
      <c r="B45" s="24" t="str">
        <f>HYPERLINK("http://apps.fcc.gov/ecfs/document/view?id=7521092339","Baldwin Broadband LLC Rural Broadband Experiment Letter of Interest (5 pages)")</f>
        <v>Baldwin Broadband LLC Rural Broadband Experiment Letter of Interest (5 pages)</v>
      </c>
      <c r="C45" s="25" t="s">
        <v>857</v>
      </c>
      <c r="D45" s="26"/>
      <c r="E45" s="21" t="s">
        <v>963</v>
      </c>
    </row>
    <row r="46" spans="1:5" s="27" customFormat="1" ht="41.4" x14ac:dyDescent="0.3">
      <c r="A46" s="19" t="s">
        <v>125</v>
      </c>
      <c r="B46" s="14" t="str">
        <f>HYPERLINK("http://apps.fcc.gov/ecfs/document/view?id=7521089449","Expression of Interest Letter from Ballard Rural Telephone Cooperative (3 pages)")</f>
        <v>Expression of Interest Letter from Ballard Rural Telephone Cooperative (3 pages)</v>
      </c>
      <c r="C46" s="20" t="s">
        <v>855</v>
      </c>
      <c r="D46" s="16"/>
      <c r="E46" s="21" t="s">
        <v>938</v>
      </c>
    </row>
    <row r="47" spans="1:5" s="27" customFormat="1" ht="41.4" x14ac:dyDescent="0.3">
      <c r="A47" s="19" t="s">
        <v>124</v>
      </c>
      <c r="B47" s="14" t="str">
        <f>HYPERLINK("http://apps.fcc.gov/ecfs/document/view?id=7521089463","Expression of Interest Letter from Ballard Rural Telephone Cooperative (3 pages)")</f>
        <v>Expression of Interest Letter from Ballard Rural Telephone Cooperative (3 pages)</v>
      </c>
      <c r="C47" s="20" t="s">
        <v>855</v>
      </c>
      <c r="D47" s="16"/>
      <c r="E47" s="21" t="s">
        <v>938</v>
      </c>
    </row>
    <row r="48" spans="1:5" s="28" customFormat="1" ht="13.8" x14ac:dyDescent="0.3">
      <c r="A48" s="13" t="s">
        <v>517</v>
      </c>
      <c r="B48" s="14" t="str">
        <f>HYPERLINK("http://apps.fcc.gov/ecfs/document/view?id=7521087804","  (10 pages)")</f>
        <v xml:space="preserve">  (10 pages)</v>
      </c>
      <c r="C48" s="15" t="s">
        <v>877</v>
      </c>
      <c r="D48" s="16"/>
      <c r="E48" s="17"/>
    </row>
    <row r="49" spans="1:5" s="27" customFormat="1" ht="27.6" x14ac:dyDescent="0.3">
      <c r="A49" s="19" t="s">
        <v>406</v>
      </c>
      <c r="B49" s="14" t="str">
        <f>HYPERLINK("http://apps.fcc.gov/ecfs/document/view?id=7521088749","Baraga EOI Rural CAF Experiment (4 pages)")</f>
        <v>Baraga EOI Rural CAF Experiment (4 pages)</v>
      </c>
      <c r="C49" s="20" t="s">
        <v>859</v>
      </c>
      <c r="D49" s="16"/>
      <c r="E49" s="21" t="s">
        <v>943</v>
      </c>
    </row>
    <row r="50" spans="1:5" s="27" customFormat="1" ht="13.8" x14ac:dyDescent="0.3">
      <c r="A50" s="19" t="s">
        <v>408</v>
      </c>
      <c r="B50" s="14" t="str">
        <f>HYPERLINK("http://apps.fcc.gov/ecfs/document/view?id=7521088686","Expression of Interest (4 pages)")</f>
        <v>Expression of Interest (4 pages)</v>
      </c>
      <c r="C50" s="20" t="s">
        <v>857</v>
      </c>
      <c r="D50" s="16"/>
      <c r="E50" s="21" t="s">
        <v>932</v>
      </c>
    </row>
    <row r="51" spans="1:5" s="27" customFormat="1" ht="13.8" x14ac:dyDescent="0.3">
      <c r="A51" s="27" t="s">
        <v>1106</v>
      </c>
      <c r="B51" s="4" t="str">
        <f>HYPERLINK("http://apps.fcc.gov/ecfs/document/view?id=7521093933","  (10 pages)")</f>
        <v xml:space="preserve">  (10 pages)</v>
      </c>
      <c r="C51" s="21" t="s">
        <v>877</v>
      </c>
      <c r="D51" s="23"/>
      <c r="E51" s="21" t="s">
        <v>943</v>
      </c>
    </row>
    <row r="52" spans="1:5" s="27" customFormat="1" ht="27.6" x14ac:dyDescent="0.3">
      <c r="A52" s="19" t="s">
        <v>123</v>
      </c>
      <c r="B52" s="14" t="str">
        <f>HYPERLINK("http://apps.fcc.gov/ecfs/document/view?id=7521089255","Barry Electric Cooperative Expression of Interest (5 pages)")</f>
        <v>Barry Electric Cooperative Expression of Interest (5 pages)</v>
      </c>
      <c r="C52" s="20" t="s">
        <v>857</v>
      </c>
      <c r="D52" s="16"/>
      <c r="E52" s="21" t="s">
        <v>2</v>
      </c>
    </row>
    <row r="53" spans="1:5" s="27" customFormat="1" ht="41.4" x14ac:dyDescent="0.3">
      <c r="A53" s="23" t="s">
        <v>836</v>
      </c>
      <c r="B53" s="24" t="str">
        <f>HYPERLINK("http://apps.fcc.gov/ecfs/document/view?id=7521089894","Expression of Interest Rural Broadband Experiments 10 90 (6 pages)")</f>
        <v>Expression of Interest Rural Broadband Experiments 10 90 (6 pages)</v>
      </c>
      <c r="C53" s="21" t="s">
        <v>856</v>
      </c>
      <c r="D53" s="26"/>
      <c r="E53" s="21" t="s">
        <v>932</v>
      </c>
    </row>
    <row r="54" spans="1:5" s="27" customFormat="1" ht="13.8" x14ac:dyDescent="0.3">
      <c r="A54" s="13" t="s">
        <v>235</v>
      </c>
      <c r="B54" s="14" t="str">
        <f>HYPERLINK("http://apps.fcc.gov/ecfs/document/view?id=7521089175","  (3 pages)")</f>
        <v xml:space="preserve">  (3 pages)</v>
      </c>
      <c r="C54" s="15" t="s">
        <v>855</v>
      </c>
      <c r="D54" s="16"/>
      <c r="E54" s="21" t="s">
        <v>961</v>
      </c>
    </row>
    <row r="55" spans="1:5" s="27" customFormat="1" ht="27.6" x14ac:dyDescent="0.3">
      <c r="A55" s="23" t="s">
        <v>906</v>
      </c>
      <c r="B55" s="24" t="str">
        <f>HYPERLINK("http://apps.fcc.gov/ecfs/document/view?id=7521090472","BearCreek Expression of Interest (2 pages)")</f>
        <v>BearCreek Expression of Interest (2 pages)</v>
      </c>
      <c r="C55" s="25" t="s">
        <v>854</v>
      </c>
      <c r="D55" s="26"/>
      <c r="E55" s="21" t="s">
        <v>989</v>
      </c>
    </row>
    <row r="56" spans="1:5" s="27" customFormat="1" ht="13.8" x14ac:dyDescent="0.3">
      <c r="A56" s="23" t="s">
        <v>835</v>
      </c>
      <c r="B56" s="24" t="str">
        <f>HYPERLINK("http://apps.fcc.gov/ecfs/document/view?id=7521089810","Letter of Interest (2 pages)")</f>
        <v>Letter of Interest (2 pages)</v>
      </c>
      <c r="C56" s="21" t="s">
        <v>854</v>
      </c>
      <c r="D56" s="26"/>
      <c r="E56" s="21" t="s">
        <v>972</v>
      </c>
    </row>
    <row r="57" spans="1:5" s="27" customFormat="1" ht="13.8" x14ac:dyDescent="0.3">
      <c r="A57" s="23" t="s">
        <v>834</v>
      </c>
      <c r="B57" s="24" t="str">
        <f>HYPERLINK("http://apps.fcc.gov/ecfs/document/view?id=7521089804","Letter of Interest (2 pages)")</f>
        <v>Letter of Interest (2 pages)</v>
      </c>
      <c r="C57" s="21" t="s">
        <v>854</v>
      </c>
      <c r="D57" s="26"/>
      <c r="E57" s="21" t="s">
        <v>1020</v>
      </c>
    </row>
    <row r="58" spans="1:5" s="28" customFormat="1" ht="27.6" x14ac:dyDescent="0.3">
      <c r="A58" s="13" t="s">
        <v>523</v>
      </c>
      <c r="B58" s="14" t="str">
        <f>HYPERLINK("http://apps.fcc.gov/ecfs/document/view?id=7521087936","Rural BBand Experiment Letter of Interest (2 pages)")</f>
        <v>Rural BBand Experiment Letter of Interest (2 pages)</v>
      </c>
      <c r="C58" s="15" t="s">
        <v>854</v>
      </c>
      <c r="D58" s="16"/>
      <c r="E58" s="17" t="s">
        <v>1001</v>
      </c>
    </row>
    <row r="59" spans="1:5" s="28" customFormat="1" ht="13.8" x14ac:dyDescent="0.3">
      <c r="A59" s="13" t="s">
        <v>234</v>
      </c>
      <c r="B59" s="14" t="str">
        <f>HYPERLINK("http://apps.fcc.gov/ecfs/document/view?id=7521089143","BTC Inc Rural CAF EOI (6 pages)")</f>
        <v>BTC Inc Rural CAF EOI (6 pages)</v>
      </c>
      <c r="C59" s="15" t="s">
        <v>856</v>
      </c>
      <c r="D59" s="16"/>
      <c r="E59" s="17" t="s">
        <v>963</v>
      </c>
    </row>
    <row r="60" spans="1:5" s="28" customFormat="1" ht="27.6" x14ac:dyDescent="0.3">
      <c r="A60" s="13" t="s">
        <v>516</v>
      </c>
      <c r="B60" s="14" t="str">
        <f>HYPERLINK("http://apps.fcc.gov/ecfs/document/view?id=7521088009","Expression of Interest Rural CAF Experiments (3 pages)")</f>
        <v>Expression of Interest Rural CAF Experiments (3 pages)</v>
      </c>
      <c r="C60" s="15" t="s">
        <v>855</v>
      </c>
      <c r="D60" s="16"/>
      <c r="E60" s="17" t="s">
        <v>1004</v>
      </c>
    </row>
    <row r="61" spans="1:5" s="28" customFormat="1" ht="13.8" x14ac:dyDescent="0.3">
      <c r="A61" s="13" t="s">
        <v>525</v>
      </c>
      <c r="B61" s="14" t="str">
        <f>HYPERLINK("http://apps.fcc.gov/ecfs/document/view?id=7521087985"," (2 pages)")</f>
        <v xml:space="preserve"> (2 pages)</v>
      </c>
      <c r="C61" s="15" t="s">
        <v>854</v>
      </c>
      <c r="D61" s="16" t="s">
        <v>998</v>
      </c>
      <c r="E61" s="17" t="s">
        <v>973</v>
      </c>
    </row>
    <row r="62" spans="1:5" s="28" customFormat="1" ht="41.4" x14ac:dyDescent="0.3">
      <c r="A62" s="13" t="s">
        <v>518</v>
      </c>
      <c r="B62" s="14" t="str">
        <f>HYPERLINK("http://apps.fcc.gov/ecfs/document/view?id=7521088102","Bevcomm Inc Pierce Pepin Cooperative Services Expression of Interest (8 pages)")</f>
        <v>Bevcomm Inc Pierce Pepin Cooperative Services Expression of Interest (8 pages)</v>
      </c>
      <c r="C62" s="15" t="s">
        <v>873</v>
      </c>
      <c r="D62" s="16"/>
      <c r="E62" s="17" t="s">
        <v>963</v>
      </c>
    </row>
    <row r="63" spans="1:5" s="28" customFormat="1" ht="27.6" x14ac:dyDescent="0.3">
      <c r="A63" s="13" t="s">
        <v>518</v>
      </c>
      <c r="B63" s="14" t="str">
        <f>HYPERLINK("http://apps.fcc.gov/ecfs/document/view?id=7521088078","Rural Experiment Expression of Interest (4 pages)")</f>
        <v>Rural Experiment Expression of Interest (4 pages)</v>
      </c>
      <c r="C63" s="15" t="s">
        <v>859</v>
      </c>
      <c r="D63" s="16"/>
      <c r="E63" s="17" t="s">
        <v>964</v>
      </c>
    </row>
    <row r="64" spans="1:5" s="28" customFormat="1" ht="13.8" x14ac:dyDescent="0.3">
      <c r="A64" s="29" t="s">
        <v>833</v>
      </c>
      <c r="B64" s="24" t="str">
        <f>HYPERLINK("http://apps.fcc.gov/ecfs/document/view?id=7521089591","  (6 pages)")</f>
        <v xml:space="preserve">  (6 pages)</v>
      </c>
      <c r="C64" s="17" t="s">
        <v>856</v>
      </c>
      <c r="D64" s="26"/>
      <c r="E64" s="17" t="s">
        <v>969</v>
      </c>
    </row>
    <row r="65" spans="1:5" s="28" customFormat="1" ht="13.8" x14ac:dyDescent="0.3">
      <c r="A65" s="13" t="s">
        <v>233</v>
      </c>
      <c r="B65" s="14" t="str">
        <f>HYPERLINK("http://apps.fcc.gov/ecfs/document/view?id=7521089039","Letter of Interest RoR (2 pages)")</f>
        <v>Letter of Interest RoR (2 pages)</v>
      </c>
      <c r="C65" s="15" t="s">
        <v>854</v>
      </c>
      <c r="D65" s="16"/>
      <c r="E65" s="17" t="s">
        <v>926</v>
      </c>
    </row>
    <row r="66" spans="1:5" s="28" customFormat="1" ht="27.6" x14ac:dyDescent="0.3">
      <c r="A66" s="13" t="s">
        <v>233</v>
      </c>
      <c r="B66" s="14" t="str">
        <f>HYPERLINK("http://apps.fcc.gov/ecfs/document/view?id=7521089031","Docket 10 90 Expression of Interest letter (2 pages)")</f>
        <v>Docket 10 90 Expression of Interest letter (2 pages)</v>
      </c>
      <c r="C66" s="15" t="s">
        <v>854</v>
      </c>
      <c r="D66" s="16"/>
      <c r="E66" s="17" t="s">
        <v>926</v>
      </c>
    </row>
    <row r="67" spans="1:5" s="28" customFormat="1" ht="13.8" x14ac:dyDescent="0.3">
      <c r="A67" s="29" t="s">
        <v>233</v>
      </c>
      <c r="B67" s="24"/>
      <c r="C67" s="17"/>
      <c r="D67" s="26"/>
      <c r="E67" s="17" t="s">
        <v>989</v>
      </c>
    </row>
    <row r="68" spans="1:5" s="28" customFormat="1" ht="27.6" x14ac:dyDescent="0.3">
      <c r="A68" s="29" t="s">
        <v>233</v>
      </c>
      <c r="B68" s="24" t="str">
        <f>HYPERLINK("http://apps.fcc.gov/ecfs/document/view?id=7521089712","Letter of Intent Price Cap Area (2 pages)")</f>
        <v>Letter of Intent Price Cap Area (2 pages)</v>
      </c>
      <c r="C68" s="17" t="s">
        <v>854</v>
      </c>
      <c r="D68" s="26"/>
      <c r="E68" s="17" t="s">
        <v>926</v>
      </c>
    </row>
    <row r="69" spans="1:5" s="28" customFormat="1" ht="27.6" x14ac:dyDescent="0.3">
      <c r="A69" s="29" t="s">
        <v>233</v>
      </c>
      <c r="B69" s="24" t="str">
        <f>HYPERLINK("http://apps.fcc.gov/ecfs/document/view?id=7521090043","Letter of Interest Price Cap Area (2 pages)")</f>
        <v>Letter of Interest Price Cap Area (2 pages)</v>
      </c>
      <c r="C69" s="30" t="s">
        <v>854</v>
      </c>
      <c r="D69" s="26"/>
      <c r="E69" s="17" t="s">
        <v>926</v>
      </c>
    </row>
    <row r="70" spans="1:5" s="28" customFormat="1" ht="13.8" x14ac:dyDescent="0.3">
      <c r="A70" s="29" t="s">
        <v>832</v>
      </c>
      <c r="B70" s="24" t="str">
        <f>HYPERLINK("http://apps.fcc.gov/ecfs/document/view?id=7521089956","Expresssion of Interest (4 pages)")</f>
        <v>Expresssion of Interest (4 pages)</v>
      </c>
      <c r="C70" s="17" t="s">
        <v>859</v>
      </c>
      <c r="D70" s="26"/>
      <c r="E70" s="17" t="s">
        <v>2</v>
      </c>
    </row>
    <row r="71" spans="1:5" s="28" customFormat="1" ht="13.8" x14ac:dyDescent="0.3">
      <c r="A71" s="13" t="s">
        <v>527</v>
      </c>
      <c r="B71" s="14" t="str">
        <f>HYPERLINK("http://apps.fcc.gov/ecfs/document/view?id=7521087987","  (2 pages)")</f>
        <v xml:space="preserve">  (2 pages)</v>
      </c>
      <c r="C71" s="15" t="s">
        <v>854</v>
      </c>
      <c r="D71" s="16" t="s">
        <v>999</v>
      </c>
      <c r="E71" s="17" t="s">
        <v>969</v>
      </c>
    </row>
    <row r="72" spans="1:5" s="28" customFormat="1" ht="27.6" x14ac:dyDescent="0.3">
      <c r="A72" s="29" t="s">
        <v>831</v>
      </c>
      <c r="B72" s="24" t="str">
        <f>HYPERLINK("http://apps.fcc.gov/ecfs/document/view?id=7521089858","  (2 pages)")</f>
        <v xml:space="preserve">  (2 pages)</v>
      </c>
      <c r="C72" s="17" t="s">
        <v>854</v>
      </c>
      <c r="D72" s="26" t="s">
        <v>1237</v>
      </c>
      <c r="E72" s="17" t="s">
        <v>989</v>
      </c>
    </row>
    <row r="73" spans="1:5" s="28" customFormat="1" ht="41.4" x14ac:dyDescent="0.3">
      <c r="A73" s="13" t="s">
        <v>326</v>
      </c>
      <c r="B73" s="14" t="str">
        <f>HYPERLINK("http://apps.fcc.gov/ecfs/document/view?id=7521088800","Rural Broadband Experiment Expression of Interest for Bixby Telephone Company (2 pages)")</f>
        <v>Rural Broadband Experiment Expression of Interest for Bixby Telephone Company (2 pages)</v>
      </c>
      <c r="C73" s="15" t="s">
        <v>854</v>
      </c>
      <c r="D73" s="16"/>
      <c r="E73" s="17" t="s">
        <v>965</v>
      </c>
    </row>
    <row r="74" spans="1:5" s="28" customFormat="1" ht="13.8" x14ac:dyDescent="0.3">
      <c r="A74" s="13" t="s">
        <v>122</v>
      </c>
      <c r="B74" s="14" t="str">
        <f>HYPERLINK("http://apps.fcc.gov/ecfs/document/view?id=7521089363","Expression of Interest (4 pages)")</f>
        <v>Expression of Interest (4 pages)</v>
      </c>
      <c r="C74" s="15" t="s">
        <v>859</v>
      </c>
      <c r="D74" s="16"/>
      <c r="E74" s="17" t="s">
        <v>2</v>
      </c>
    </row>
    <row r="75" spans="1:5" s="28" customFormat="1" ht="13.8" x14ac:dyDescent="0.3">
      <c r="A75" s="13" t="s">
        <v>325</v>
      </c>
      <c r="B75" s="14" t="str">
        <f>HYPERLINK("http://apps.fcc.gov/ecfs/document/view?id=7521088988","Expression of Interest (2 pages)")</f>
        <v>Expression of Interest (2 pages)</v>
      </c>
      <c r="C75" s="15" t="s">
        <v>854</v>
      </c>
      <c r="D75" s="16"/>
      <c r="E75" s="17" t="s">
        <v>943</v>
      </c>
    </row>
    <row r="76" spans="1:5" s="28" customFormat="1" ht="27.6" x14ac:dyDescent="0.3">
      <c r="A76" s="29" t="s">
        <v>905</v>
      </c>
      <c r="B76" s="24" t="str">
        <f>HYPERLINK("http://apps.fcc.gov/ecfs/document/view?id=7521090494","Non Binding Expression of Interest (5 pages)")</f>
        <v>Non Binding Expression of Interest (5 pages)</v>
      </c>
      <c r="C76" s="30" t="s">
        <v>857</v>
      </c>
      <c r="D76" s="26"/>
      <c r="E76" s="17" t="s">
        <v>943</v>
      </c>
    </row>
    <row r="77" spans="1:5" s="28" customFormat="1" ht="13.8" x14ac:dyDescent="0.3">
      <c r="A77" s="13" t="s">
        <v>462</v>
      </c>
      <c r="B77" s="14" t="str">
        <f>HYPERLINK("http://apps.fcc.gov/ecfs/document/view?id=7521088368","Expression of Interest (4 pages)")</f>
        <v>Expression of Interest (4 pages)</v>
      </c>
      <c r="C77" s="15" t="s">
        <v>859</v>
      </c>
      <c r="D77" s="16"/>
      <c r="E77" s="17" t="s">
        <v>1118</v>
      </c>
    </row>
    <row r="78" spans="1:5" s="28" customFormat="1" ht="13.8" x14ac:dyDescent="0.3">
      <c r="A78" s="13" t="s">
        <v>461</v>
      </c>
      <c r="B78" s="14" t="str">
        <f>HYPERLINK("http://apps.fcc.gov/ecfs/document/view?id=7521088385","Expression of Interest (5 pages)")</f>
        <v>Expression of Interest (5 pages)</v>
      </c>
      <c r="C78" s="15" t="s">
        <v>857</v>
      </c>
      <c r="D78" s="16"/>
      <c r="E78" s="17" t="s">
        <v>1117</v>
      </c>
    </row>
    <row r="79" spans="1:5" s="28" customFormat="1" ht="13.8" x14ac:dyDescent="0.3">
      <c r="A79" s="29" t="s">
        <v>830</v>
      </c>
      <c r="B79" s="24" t="str">
        <f>HYPERLINK("http://apps.fcc.gov/ecfs/document/view?id=7521089946","Letter of Intent (2 pages)")</f>
        <v>Letter of Intent (2 pages)</v>
      </c>
      <c r="C79" s="17" t="s">
        <v>854</v>
      </c>
      <c r="D79" s="26"/>
      <c r="E79" s="17" t="s">
        <v>1200</v>
      </c>
    </row>
    <row r="80" spans="1:5" s="28" customFormat="1" ht="13.8" x14ac:dyDescent="0.3">
      <c r="A80" s="13" t="s">
        <v>121</v>
      </c>
      <c r="B80" s="14" t="str">
        <f>HYPERLINK("http://apps.fcc.gov/ecfs/document/view?id=7521089258","Expression of Interest (2 pages)")</f>
        <v>Expression of Interest (2 pages)</v>
      </c>
      <c r="C80" s="15" t="s">
        <v>854</v>
      </c>
      <c r="D80" s="16"/>
      <c r="E80" s="17" t="s">
        <v>926</v>
      </c>
    </row>
    <row r="81" spans="1:5" s="28" customFormat="1" ht="41.4" x14ac:dyDescent="0.3">
      <c r="A81" s="13" t="s">
        <v>120</v>
      </c>
      <c r="B81" s="14" t="str">
        <f>HYPERLINK("http://apps.fcc.gov/ecfs/document/view?id=7521089469","  (8 pages)")</f>
        <v xml:space="preserve">  (8 pages)</v>
      </c>
      <c r="C81" s="15" t="s">
        <v>873</v>
      </c>
      <c r="D81" s="16" t="s">
        <v>1183</v>
      </c>
      <c r="E81" s="17" t="s">
        <v>936</v>
      </c>
    </row>
    <row r="82" spans="1:5" s="28" customFormat="1" ht="27.6" x14ac:dyDescent="0.3">
      <c r="A82" s="13" t="s">
        <v>120</v>
      </c>
      <c r="B82" s="14" t="str">
        <f>HYPERLINK("http://apps.fcc.gov/ecfs/document/view?id=7521088921","  (8 pages)")</f>
        <v xml:space="preserve">  (8 pages)</v>
      </c>
      <c r="C82" s="15" t="s">
        <v>873</v>
      </c>
      <c r="D82" s="16" t="s">
        <v>1072</v>
      </c>
      <c r="E82" s="17" t="s">
        <v>932</v>
      </c>
    </row>
    <row r="83" spans="1:5" s="28" customFormat="1" ht="13.8" x14ac:dyDescent="0.3">
      <c r="A83" s="13" t="s">
        <v>120</v>
      </c>
      <c r="B83" s="14" t="str">
        <f>HYPERLINK("http://apps.fcc.gov/ecfs/document/view?id=7521088757","  (7 pages)")</f>
        <v xml:space="preserve">  (7 pages)</v>
      </c>
      <c r="C83" s="15" t="s">
        <v>866</v>
      </c>
      <c r="D83" s="16" t="s">
        <v>1251</v>
      </c>
      <c r="E83" s="17" t="s">
        <v>969</v>
      </c>
    </row>
    <row r="84" spans="1:5" s="28" customFormat="1" ht="13.8" x14ac:dyDescent="0.3">
      <c r="A84" s="29" t="s">
        <v>120</v>
      </c>
      <c r="B84" s="24" t="str">
        <f>HYPERLINK("http://apps.fcc.gov/ecfs/document/view?id=7521089606","  (7 pages)")</f>
        <v xml:space="preserve">  (7 pages)</v>
      </c>
      <c r="C84" s="17" t="s">
        <v>866</v>
      </c>
      <c r="D84" s="26" t="s">
        <v>1233</v>
      </c>
      <c r="E84" s="17" t="s">
        <v>1079</v>
      </c>
    </row>
    <row r="85" spans="1:5" s="28" customFormat="1" ht="13.8" x14ac:dyDescent="0.3">
      <c r="A85" s="29" t="s">
        <v>120</v>
      </c>
      <c r="B85" s="24" t="str">
        <f>HYPERLINK("http://apps.fcc.gov/ecfs/document/view?id=7521089570","  (6 pages)")</f>
        <v xml:space="preserve">  (6 pages)</v>
      </c>
      <c r="C85" s="17" t="s">
        <v>856</v>
      </c>
      <c r="D85" s="26" t="s">
        <v>1234</v>
      </c>
      <c r="E85" s="17" t="s">
        <v>932</v>
      </c>
    </row>
    <row r="86" spans="1:5" s="28" customFormat="1" ht="41.4" x14ac:dyDescent="0.3">
      <c r="A86" s="29" t="s">
        <v>120</v>
      </c>
      <c r="B86" s="7" t="str">
        <f>HYPERLINK("http://apps.fcc.gov/ecfs/document/view?id=7521089469","  (8 pages)")</f>
        <v xml:space="preserve">  (8 pages)</v>
      </c>
      <c r="C86" s="17">
        <v>8</v>
      </c>
      <c r="D86" s="26" t="s">
        <v>1235</v>
      </c>
      <c r="E86" s="17" t="s">
        <v>936</v>
      </c>
    </row>
    <row r="87" spans="1:5" s="28" customFormat="1" ht="13.8" x14ac:dyDescent="0.3">
      <c r="A87" s="29" t="s">
        <v>120</v>
      </c>
      <c r="B87" s="3" t="str">
        <f>HYPERLINK("http://apps.fcc.gov/ecfs/document/view?id=7521088757","  (7 pages)")</f>
        <v xml:space="preserve">  (7 pages)</v>
      </c>
      <c r="C87" s="17">
        <v>7</v>
      </c>
      <c r="D87" s="26" t="s">
        <v>237</v>
      </c>
      <c r="E87" s="17" t="s">
        <v>969</v>
      </c>
    </row>
    <row r="88" spans="1:5" s="28" customFormat="1" ht="27.6" x14ac:dyDescent="0.3">
      <c r="A88" s="29" t="s">
        <v>120</v>
      </c>
      <c r="B88" s="3" t="str">
        <f>HYPERLINK("http://apps.fcc.gov/ecfs/document/view?id=7521088921","  (8 pages)")</f>
        <v xml:space="preserve">  (8 pages)</v>
      </c>
      <c r="C88" s="17">
        <v>8</v>
      </c>
      <c r="D88" s="26" t="s">
        <v>1236</v>
      </c>
      <c r="E88" s="17" t="s">
        <v>932</v>
      </c>
    </row>
    <row r="89" spans="1:5" s="28" customFormat="1" ht="13.8" x14ac:dyDescent="0.3">
      <c r="A89" s="13" t="s">
        <v>405</v>
      </c>
      <c r="B89" s="14" t="str">
        <f>HYPERLINK("http://apps.fcc.gov/ecfs/document/view?id=7521088698","  (3 pages)")</f>
        <v xml:space="preserve">  (3 pages)</v>
      </c>
      <c r="C89" s="15" t="s">
        <v>855</v>
      </c>
      <c r="D89" s="16"/>
      <c r="E89" s="17" t="s">
        <v>961</v>
      </c>
    </row>
    <row r="90" spans="1:5" s="28" customFormat="1" ht="27.6" x14ac:dyDescent="0.3">
      <c r="A90" s="13" t="s">
        <v>324</v>
      </c>
      <c r="B90" s="14" t="str">
        <f>HYPERLINK("http://apps.fcc.gov/ecfs/document/view?id=7521088855","Rural Broadband Experiment Expression of Interest Letter (7 pages)")</f>
        <v>Rural Broadband Experiment Expression of Interest Letter (7 pages)</v>
      </c>
      <c r="C90" s="15" t="s">
        <v>866</v>
      </c>
      <c r="D90" s="16"/>
      <c r="E90" s="17" t="s">
        <v>926</v>
      </c>
    </row>
    <row r="91" spans="1:5" s="28" customFormat="1" ht="13.8" x14ac:dyDescent="0.3">
      <c r="A91" s="13" t="s">
        <v>127</v>
      </c>
      <c r="B91" s="14" t="str">
        <f>HYPERLINK("http://apps.fcc.gov/ecfs/document/view?id=7521089387","BL_One (3 pages)")</f>
        <v>BL_One (3 pages)</v>
      </c>
      <c r="C91" s="15" t="s">
        <v>855</v>
      </c>
      <c r="D91" s="16"/>
      <c r="E91" s="17" t="s">
        <v>939</v>
      </c>
    </row>
    <row r="92" spans="1:5" s="28" customFormat="1" ht="27.6" x14ac:dyDescent="0.3">
      <c r="A92" s="13" t="s">
        <v>119</v>
      </c>
      <c r="B92" s="14" t="str">
        <f>HYPERLINK("http://apps.fcc.gov/ecfs/document/view?id=7521089367","BGMU Expression of Interest (5 pages)")</f>
        <v>BGMU Expression of Interest (5 pages)</v>
      </c>
      <c r="C92" s="15" t="s">
        <v>860</v>
      </c>
      <c r="D92" s="16"/>
      <c r="E92" s="17" t="s">
        <v>938</v>
      </c>
    </row>
    <row r="93" spans="1:5" s="28" customFormat="1" ht="27.6" x14ac:dyDescent="0.3">
      <c r="A93" s="13" t="s">
        <v>118</v>
      </c>
      <c r="B93" s="14" t="str">
        <f>HYPERLINK("http://apps.fcc.gov/ecfs/document/view?id=7521089377","Letter of Interest Broadband Experiment (4 pages)")</f>
        <v>Letter of Interest Broadband Experiment (4 pages)</v>
      </c>
      <c r="C93" s="15" t="s">
        <v>859</v>
      </c>
      <c r="D93" s="16"/>
      <c r="E93" s="17" t="s">
        <v>2</v>
      </c>
    </row>
    <row r="94" spans="1:5" s="28" customFormat="1" ht="27.6" x14ac:dyDescent="0.3">
      <c r="A94" s="13" t="s">
        <v>407</v>
      </c>
      <c r="B94" s="14" t="str">
        <f>HYPERLINK("http://apps.fcc.gov/ecfs/document/view?id=7521088733","Expression of Interest (2 pages)")</f>
        <v>Expression of Interest (2 pages)</v>
      </c>
      <c r="C94" s="15" t="s">
        <v>854</v>
      </c>
      <c r="D94" s="16"/>
      <c r="E94" s="17" t="s">
        <v>961</v>
      </c>
    </row>
    <row r="95" spans="1:5" s="28" customFormat="1" ht="13.8" x14ac:dyDescent="0.3">
      <c r="A95" s="28" t="s">
        <v>1154</v>
      </c>
      <c r="B95" s="10" t="str">
        <f>HYPERLINK("http://apps.fcc.gov/ecfs/document/view?id=7521094540","BPS Telephone BPS Networks Expression of Interest Letter (6 pages)")</f>
        <v>BPS Telephone BPS Networks Expression of Interest Letter (6 pages)</v>
      </c>
      <c r="C95" s="17" t="s">
        <v>856</v>
      </c>
      <c r="D95" s="29"/>
      <c r="E95" s="17" t="s">
        <v>2</v>
      </c>
    </row>
    <row r="96" spans="1:5" s="28" customFormat="1" ht="13.8" x14ac:dyDescent="0.3">
      <c r="A96" s="13" t="s">
        <v>232</v>
      </c>
      <c r="B96" s="14" t="str">
        <f>HYPERLINK("http://apps.fcc.gov/ecfs/document/view?id=7521089119","  (2 pages)")</f>
        <v xml:space="preserve">  (2 pages)</v>
      </c>
      <c r="C96" s="15" t="s">
        <v>854</v>
      </c>
      <c r="D96" s="16"/>
      <c r="E96" s="17" t="s">
        <v>938</v>
      </c>
    </row>
    <row r="97" spans="1:5" s="28" customFormat="1" ht="13.8" x14ac:dyDescent="0.3">
      <c r="A97" s="13" t="s">
        <v>231</v>
      </c>
      <c r="B97" s="14" t="str">
        <f>HYPERLINK("http://apps.fcc.gov/ecfs/document/view?id=7521089114","  (2 pages)")</f>
        <v xml:space="preserve">  (2 pages)</v>
      </c>
      <c r="C97" s="15" t="s">
        <v>854</v>
      </c>
      <c r="D97" s="16"/>
      <c r="E97" s="17" t="s">
        <v>938</v>
      </c>
    </row>
    <row r="98" spans="1:5" s="28" customFormat="1" ht="27.6" x14ac:dyDescent="0.3">
      <c r="A98" s="13" t="s">
        <v>404</v>
      </c>
      <c r="B98" s="14" t="str">
        <f>HYPERLINK("http://apps.fcc.gov/ecfs/document/view?id=7521088614","Rural Broadband Experiments Expression of Interest letter (2 pages)")</f>
        <v>Rural Broadband Experiments Expression of Interest letter (2 pages)</v>
      </c>
      <c r="C98" s="15" t="s">
        <v>854</v>
      </c>
      <c r="D98" s="16"/>
      <c r="E98" s="17" t="s">
        <v>925</v>
      </c>
    </row>
    <row r="99" spans="1:5" s="28" customFormat="1" ht="13.8" x14ac:dyDescent="0.3">
      <c r="A99" s="29" t="s">
        <v>829</v>
      </c>
      <c r="B99" s="24" t="str">
        <f>HYPERLINK("http://apps.fcc.gov/ecfs/document/view?id=7521089476","Expression of Interest (2 pages)")</f>
        <v>Expression of Interest (2 pages)</v>
      </c>
      <c r="C99" s="17" t="s">
        <v>854</v>
      </c>
      <c r="D99" s="26"/>
      <c r="E99" s="17" t="s">
        <v>926</v>
      </c>
    </row>
    <row r="100" spans="1:5" s="28" customFormat="1" ht="27.6" x14ac:dyDescent="0.3">
      <c r="A100" s="29" t="s">
        <v>828</v>
      </c>
      <c r="B100" s="24" t="str">
        <f>HYPERLINK("http://apps.fcc.gov/ecfs/document/view?id=7521089812","WC Docket NO 10 90 Expression of Interest (4 pages)")</f>
        <v>WC Docket NO 10 90 Expression of Interest (4 pages)</v>
      </c>
      <c r="C100" s="17" t="s">
        <v>859</v>
      </c>
      <c r="D100" s="26"/>
      <c r="E100" s="17" t="s">
        <v>1192</v>
      </c>
    </row>
    <row r="101" spans="1:5" s="28" customFormat="1" ht="13.8" x14ac:dyDescent="0.3">
      <c r="A101" s="29" t="s">
        <v>827</v>
      </c>
      <c r="B101" s="24" t="str">
        <f>HYPERLINK("http://apps.fcc.gov/ecfs/document/view?id=7521089799","  (10 pages)")</f>
        <v xml:space="preserve">  (10 pages)</v>
      </c>
      <c r="C101" s="17" t="s">
        <v>877</v>
      </c>
      <c r="D101" s="26" t="s">
        <v>1220</v>
      </c>
      <c r="E101" s="17" t="s">
        <v>979</v>
      </c>
    </row>
    <row r="102" spans="1:5" s="28" customFormat="1" ht="13.8" x14ac:dyDescent="0.3">
      <c r="A102" s="13" t="s">
        <v>117</v>
      </c>
      <c r="B102" s="14" t="str">
        <f>HYPERLINK("http://apps.fcc.gov/ecfs/document/view?id=7521089361","Expression of Interest (2 pages)")</f>
        <v>Expression of Interest (2 pages)</v>
      </c>
      <c r="C102" s="15" t="s">
        <v>854</v>
      </c>
      <c r="D102" s="16"/>
      <c r="E102" s="17" t="s">
        <v>978</v>
      </c>
    </row>
    <row r="103" spans="1:5" s="28" customFormat="1" ht="13.8" x14ac:dyDescent="0.3">
      <c r="A103" s="29" t="s">
        <v>826</v>
      </c>
      <c r="B103" s="24" t="str">
        <f>HYPERLINK("http://apps.fcc.gov/ecfs/document/view?id=7521089637","  (3 pages)")</f>
        <v xml:space="preserve">  (3 pages)</v>
      </c>
      <c r="C103" s="17" t="s">
        <v>855</v>
      </c>
      <c r="D103" s="26"/>
      <c r="E103" s="17" t="s">
        <v>928</v>
      </c>
    </row>
    <row r="104" spans="1:5" s="28" customFormat="1" ht="27.6" x14ac:dyDescent="0.3">
      <c r="A104" s="13" t="s">
        <v>230</v>
      </c>
      <c r="B104" s="14" t="str">
        <f>HYPERLINK("http://apps.fcc.gov/ecfs/document/view?id=7521089129","  (3 pages)")</f>
        <v xml:space="preserve">  (3 pages)</v>
      </c>
      <c r="C104" s="15" t="s">
        <v>855</v>
      </c>
      <c r="D104" s="16" t="s">
        <v>955</v>
      </c>
      <c r="E104" s="17" t="s">
        <v>925</v>
      </c>
    </row>
    <row r="105" spans="1:5" s="28" customFormat="1" ht="13.8" x14ac:dyDescent="0.3">
      <c r="A105" s="29" t="s">
        <v>825</v>
      </c>
      <c r="B105" s="24" t="str">
        <f>HYPERLINK("http://apps.fcc.gov/ecfs/document/view?id=7521089797","  (2 pages)")</f>
        <v xml:space="preserve">  (2 pages)</v>
      </c>
      <c r="C105" s="17" t="s">
        <v>854</v>
      </c>
      <c r="D105" s="26"/>
      <c r="E105" s="17" t="s">
        <v>928</v>
      </c>
    </row>
    <row r="106" spans="1:5" s="28" customFormat="1" ht="13.8" x14ac:dyDescent="0.3">
      <c r="A106" s="13" t="s">
        <v>229</v>
      </c>
      <c r="B106" s="14" t="str">
        <f>HYPERLINK("http://apps.fcc.gov/ecfs/document/view?id=7521089149","  (2 pages)")</f>
        <v xml:space="preserve">  (2 pages)</v>
      </c>
      <c r="C106" s="15" t="s">
        <v>854</v>
      </c>
      <c r="D106" s="16"/>
      <c r="E106" s="17" t="s">
        <v>968</v>
      </c>
    </row>
    <row r="107" spans="1:5" s="28" customFormat="1" ht="13.8" x14ac:dyDescent="0.3">
      <c r="A107" s="28" t="s">
        <v>1105</v>
      </c>
      <c r="B107" s="10" t="str">
        <f>HYPERLINK("http://apps.fcc.gov/ecfs/document/view?id=7521092659","Expression of Interest for Rural Broadband Experiment (5 pages)")</f>
        <v>Expression of Interest for Rural Broadband Experiment (5 pages)</v>
      </c>
      <c r="C107" s="17" t="s">
        <v>857</v>
      </c>
      <c r="D107" s="29"/>
      <c r="E107" s="17" t="s">
        <v>1222</v>
      </c>
    </row>
    <row r="108" spans="1:5" s="28" customFormat="1" ht="13.8" x14ac:dyDescent="0.3">
      <c r="A108" s="29" t="s">
        <v>824</v>
      </c>
      <c r="B108" s="24" t="str">
        <f>HYPERLINK("http://apps.fcc.gov/ecfs/document/view?id=7521089551","  (3 pages)")</f>
        <v xml:space="preserve">  (3 pages)</v>
      </c>
      <c r="C108" s="17" t="s">
        <v>855</v>
      </c>
      <c r="D108" s="26"/>
      <c r="E108" s="17" t="s">
        <v>961</v>
      </c>
    </row>
    <row r="109" spans="1:5" s="28" customFormat="1" ht="27.6" x14ac:dyDescent="0.3">
      <c r="A109" s="13" t="s">
        <v>323</v>
      </c>
      <c r="B109" s="14" t="str">
        <f>HYPERLINK("http://apps.fcc.gov/ecfs/document/view?id=7521088853","Fall River Expression of Interest (5 pages)")</f>
        <v>Fall River Expression of Interest (5 pages)</v>
      </c>
      <c r="C109" s="15" t="s">
        <v>857</v>
      </c>
      <c r="D109" s="16"/>
      <c r="E109" s="17" t="s">
        <v>1071</v>
      </c>
    </row>
    <row r="110" spans="1:5" s="28" customFormat="1" ht="41.4" x14ac:dyDescent="0.3">
      <c r="A110" s="13" t="s">
        <v>327</v>
      </c>
      <c r="B110" s="14" t="str">
        <f>HYPERLINK("http://apps.fcc.gov/ecfs/document/view?id=7521088801","Rural Broadband Experiment Expression of Interest for BTC Broadband (2 pages)")</f>
        <v>Rural Broadband Experiment Expression of Interest for BTC Broadband (2 pages)</v>
      </c>
      <c r="C110" s="15" t="s">
        <v>854</v>
      </c>
      <c r="D110" s="16"/>
      <c r="E110" s="17" t="s">
        <v>965</v>
      </c>
    </row>
    <row r="111" spans="1:5" s="28" customFormat="1" ht="13.8" x14ac:dyDescent="0.3">
      <c r="A111" s="13" t="s">
        <v>236</v>
      </c>
      <c r="B111" s="14" t="str">
        <f>HYPERLINK("http://apps.fcc.gov/ecfs/document/view?id=7521089011","  (5 pages)")</f>
        <v xml:space="preserve">  (5 pages)</v>
      </c>
      <c r="C111" s="15" t="s">
        <v>857</v>
      </c>
      <c r="D111" s="16"/>
      <c r="E111" s="17" t="s">
        <v>966</v>
      </c>
    </row>
    <row r="112" spans="1:5" s="28" customFormat="1" ht="27.6" x14ac:dyDescent="0.3">
      <c r="A112" s="29" t="s">
        <v>823</v>
      </c>
      <c r="B112" s="24" t="str">
        <f>HYPERLINK("http://apps.fcc.gov/ecfs/document/view?id=7521089490","Buckeye Rural Electric Cooperative EOI WC Docket 10 90 (6 pages)")</f>
        <v>Buckeye Rural Electric Cooperative EOI WC Docket 10 90 (6 pages)</v>
      </c>
      <c r="C112" s="17" t="s">
        <v>856</v>
      </c>
      <c r="D112" s="26"/>
      <c r="E112" s="17" t="s">
        <v>933</v>
      </c>
    </row>
    <row r="113" spans="1:5" s="28" customFormat="1" ht="13.8" x14ac:dyDescent="0.3">
      <c r="A113" s="13" t="s">
        <v>116</v>
      </c>
      <c r="B113" s="14" t="str">
        <f>HYPERLINK("http://apps.fcc.gov/ecfs/document/view?id=7521089433","  (2 pages)")</f>
        <v xml:space="preserve">  (2 pages)</v>
      </c>
      <c r="C113" s="15" t="s">
        <v>854</v>
      </c>
      <c r="D113" s="16"/>
      <c r="E113" s="17" t="s">
        <v>925</v>
      </c>
    </row>
    <row r="114" spans="1:5" s="28" customFormat="1" ht="27.6" x14ac:dyDescent="0.3">
      <c r="A114" s="13" t="s">
        <v>126</v>
      </c>
      <c r="B114" s="14" t="str">
        <f>HYPERLINK("http://apps.fcc.gov/ecfs/document/view?id=7521089360","Expression of Interest Rural Broadband Trials (18 pages)")</f>
        <v>Expression of Interest Rural Broadband Trials (18 pages)</v>
      </c>
      <c r="C114" s="15" t="s">
        <v>858</v>
      </c>
      <c r="D114" s="16"/>
      <c r="E114" s="17" t="s">
        <v>932</v>
      </c>
    </row>
    <row r="115" spans="1:5" s="28" customFormat="1" ht="13.8" x14ac:dyDescent="0.3">
      <c r="A115" s="29" t="s">
        <v>822</v>
      </c>
      <c r="B115" s="24" t="str">
        <f>HYPERLINK("http://apps.fcc.gov/ecfs/document/view?id=7521089898","Expression of Interest (4 pages)")</f>
        <v>Expression of Interest (4 pages)</v>
      </c>
      <c r="C115" s="17" t="s">
        <v>859</v>
      </c>
      <c r="D115" s="26"/>
      <c r="E115" s="17" t="s">
        <v>961</v>
      </c>
    </row>
    <row r="116" spans="1:5" s="28" customFormat="1" ht="27.6" x14ac:dyDescent="0.3">
      <c r="A116" s="29" t="s">
        <v>820</v>
      </c>
      <c r="B116" s="24" t="str">
        <f>HYPERLINK("http://apps.fcc.gov/ecfs/document/view?id=7521089838","Cal net Rural Broadband Experiment Expression of Interest (6 pages)")</f>
        <v>Cal net Rural Broadband Experiment Expression of Interest (6 pages)</v>
      </c>
      <c r="C116" s="17" t="s">
        <v>856</v>
      </c>
      <c r="D116" s="26"/>
      <c r="E116" s="17" t="s">
        <v>928</v>
      </c>
    </row>
    <row r="117" spans="1:5" s="28" customFormat="1" ht="27.6" x14ac:dyDescent="0.3">
      <c r="A117" s="29" t="s">
        <v>819</v>
      </c>
      <c r="B117" s="24" t="str">
        <f>HYPERLINK("http://apps.fcc.gov/ecfs/document/view?id=7521089851","Eastern Mojave Death Valley VoIP (10 pages)")</f>
        <v>Eastern Mojave Death Valley VoIP (10 pages)</v>
      </c>
      <c r="C117" s="17" t="s">
        <v>877</v>
      </c>
      <c r="D117" s="26"/>
      <c r="E117" s="17" t="s">
        <v>928</v>
      </c>
    </row>
    <row r="118" spans="1:5" s="28" customFormat="1" ht="41.4" x14ac:dyDescent="0.3">
      <c r="A118" s="29" t="s">
        <v>818</v>
      </c>
      <c r="B118" s="24" t="str">
        <f>HYPERLINK("http://apps.fcc.gov/ecfs/document/view?id=7521089920","Callaway Electric Consolidated Electric Kingdom Technology Solutions Inc Ex (4 pages)")</f>
        <v>Callaway Electric Consolidated Electric Kingdom Technology Solutions Inc Ex (4 pages)</v>
      </c>
      <c r="C118" s="17" t="s">
        <v>859</v>
      </c>
      <c r="D118" s="26"/>
      <c r="E118" s="17" t="s">
        <v>2</v>
      </c>
    </row>
    <row r="119" spans="1:5" s="28" customFormat="1" ht="13.8" x14ac:dyDescent="0.3">
      <c r="A119" s="29" t="s">
        <v>817</v>
      </c>
      <c r="B119" s="24" t="str">
        <f>HYPERLINK("http://apps.fcc.gov/ecfs/document/view?id=7521089668","  (4 pages)")</f>
        <v xml:space="preserve">  (4 pages)</v>
      </c>
      <c r="C119" s="17" t="s">
        <v>859</v>
      </c>
      <c r="D119" s="26"/>
      <c r="E119" s="17" t="s">
        <v>2</v>
      </c>
    </row>
    <row r="120" spans="1:5" s="28" customFormat="1" ht="13.8" x14ac:dyDescent="0.3">
      <c r="A120" s="13" t="s">
        <v>401</v>
      </c>
      <c r="B120" s="14" t="str">
        <f>HYPERLINK("http://apps.fcc.gov/ecfs/document/view?id=7521088649","  (4 pages)")</f>
        <v xml:space="preserve">  (4 pages)</v>
      </c>
      <c r="C120" s="15" t="s">
        <v>859</v>
      </c>
      <c r="D120" s="16"/>
      <c r="E120" s="17" t="s">
        <v>928</v>
      </c>
    </row>
    <row r="121" spans="1:5" s="28" customFormat="1" ht="13.8" x14ac:dyDescent="0.3">
      <c r="A121" s="29" t="s">
        <v>816</v>
      </c>
      <c r="B121" s="24" t="str">
        <f>HYPERLINK("http://apps.fcc.gov/ecfs/document/view?id=7521089784","Letter of Intent (2 pages)")</f>
        <v>Letter of Intent (2 pages)</v>
      </c>
      <c r="C121" s="17" t="s">
        <v>854</v>
      </c>
      <c r="D121" s="26"/>
      <c r="E121" s="17" t="s">
        <v>962</v>
      </c>
    </row>
    <row r="122" spans="1:5" s="28" customFormat="1" ht="13.8" x14ac:dyDescent="0.3">
      <c r="A122" s="13" t="s">
        <v>400</v>
      </c>
      <c r="B122" s="14" t="str">
        <f>HYPERLINK("http://apps.fcc.gov/ecfs/document/view?id=7521088739","  (3 pages)")</f>
        <v xml:space="preserve">  (3 pages)</v>
      </c>
      <c r="C122" s="15" t="s">
        <v>855</v>
      </c>
      <c r="D122" s="16"/>
      <c r="E122" s="17" t="s">
        <v>926</v>
      </c>
    </row>
    <row r="123" spans="1:5" s="28" customFormat="1" ht="27.6" x14ac:dyDescent="0.3">
      <c r="A123" s="13" t="s">
        <v>113</v>
      </c>
      <c r="B123" s="14" t="str">
        <f>HYPERLINK("http://apps.fcc.gov/ecfs/document/view?id=7521089450","CapeNet EOI re Docket 10 90 (2 pages)")</f>
        <v>CapeNet EOI re Docket 10 90 (2 pages)</v>
      </c>
      <c r="C123" s="15" t="s">
        <v>854</v>
      </c>
      <c r="D123" s="16"/>
      <c r="E123" s="17" t="s">
        <v>1002</v>
      </c>
    </row>
    <row r="124" spans="1:5" s="28" customFormat="1" ht="13.8" x14ac:dyDescent="0.3">
      <c r="A124" s="29" t="s">
        <v>922</v>
      </c>
      <c r="B124" s="24" t="str">
        <f>HYPERLINK("http://apps.fcc.gov/ecfs/document/view?id=7521090115","Letter of Interest (2 pages)")</f>
        <v>Letter of Interest (2 pages)</v>
      </c>
      <c r="C124" s="30" t="s">
        <v>854</v>
      </c>
      <c r="D124" s="26" t="s">
        <v>1194</v>
      </c>
      <c r="E124" s="17" t="s">
        <v>978</v>
      </c>
    </row>
    <row r="125" spans="1:5" s="28" customFormat="1" ht="27.6" x14ac:dyDescent="0.3">
      <c r="A125" s="29" t="s">
        <v>921</v>
      </c>
      <c r="B125" s="24" t="str">
        <f>HYPERLINK("http://apps.fcc.gov/ecfs/document/view?id=7521090167","Carolina Mt Cablevision Expression of Interest (2 pages)")</f>
        <v>Carolina Mt Cablevision Expression of Interest (2 pages)</v>
      </c>
      <c r="C125" s="30" t="s">
        <v>854</v>
      </c>
      <c r="D125" s="26"/>
      <c r="E125" s="17" t="s">
        <v>924</v>
      </c>
    </row>
    <row r="126" spans="1:5" s="28" customFormat="1" ht="13.8" x14ac:dyDescent="0.3">
      <c r="A126" s="13" t="s">
        <v>460</v>
      </c>
      <c r="B126" s="14" t="str">
        <f>HYPERLINK("http://apps.fcc.gov/ecfs/document/view?id=7521088400","  (2 pages)")</f>
        <v xml:space="preserve">  (2 pages)</v>
      </c>
      <c r="C126" s="15" t="s">
        <v>854</v>
      </c>
      <c r="D126" s="16"/>
      <c r="E126" s="17" t="s">
        <v>943</v>
      </c>
    </row>
    <row r="127" spans="1:5" s="28" customFormat="1" ht="41.4" x14ac:dyDescent="0.3">
      <c r="A127" s="13" t="s">
        <v>399</v>
      </c>
      <c r="B127" s="14" t="str">
        <f>HYPERLINK("http://apps.fcc.gov/ecfs/document/view?id=7521088660","Rural BBand Experiment Letter of Interest Cass Morgan Counties (2 pages)")</f>
        <v>Rural BBand Experiment Letter of Interest Cass Morgan Counties (2 pages)</v>
      </c>
      <c r="C127" s="15" t="s">
        <v>854</v>
      </c>
      <c r="D127" s="16"/>
      <c r="E127" s="17" t="s">
        <v>959</v>
      </c>
    </row>
    <row r="128" spans="1:5" s="28" customFormat="1" ht="27.6" x14ac:dyDescent="0.3">
      <c r="A128" s="13" t="s">
        <v>399</v>
      </c>
      <c r="B128" s="14" t="str">
        <f>HYPERLINK("http://apps.fcc.gov/ecfs/document/view?id=7521088658","Rural BBand Experiment Letter of Interest Cass County (2 pages)")</f>
        <v>Rural BBand Experiment Letter of Interest Cass County (2 pages)</v>
      </c>
      <c r="C128" s="15" t="s">
        <v>854</v>
      </c>
      <c r="D128" s="16"/>
      <c r="E128" s="17" t="s">
        <v>959</v>
      </c>
    </row>
    <row r="129" spans="1:5" s="28" customFormat="1" ht="13.8" x14ac:dyDescent="0.3">
      <c r="A129" s="13" t="s">
        <v>403</v>
      </c>
      <c r="B129" s="14" t="str">
        <f>HYPERLINK("http://apps.fcc.gov/ecfs/document/view?id=7521088694","  (7 pages)")</f>
        <v xml:space="preserve">  (7 pages)</v>
      </c>
      <c r="C129" s="15" t="s">
        <v>866</v>
      </c>
      <c r="D129" s="16"/>
      <c r="E129" s="17" t="s">
        <v>975</v>
      </c>
    </row>
    <row r="130" spans="1:5" s="28" customFormat="1" ht="13.8" x14ac:dyDescent="0.3">
      <c r="A130" s="13" t="s">
        <v>112</v>
      </c>
      <c r="B130" s="31" t="str">
        <f>HYPERLINK("http://apps.fcc.gov/ecfs/document/view?id=7521089447","CNP Expression of Interest (6 pages)")</f>
        <v>CNP Expression of Interest (6 pages)</v>
      </c>
      <c r="C130" s="15" t="s">
        <v>856</v>
      </c>
      <c r="D130" s="16"/>
      <c r="E130" s="17" t="s">
        <v>965</v>
      </c>
    </row>
    <row r="131" spans="1:5" s="28" customFormat="1" ht="13.8" x14ac:dyDescent="0.3">
      <c r="A131" s="13" t="s">
        <v>227</v>
      </c>
      <c r="B131" s="14" t="str">
        <f>HYPERLINK("http://apps.fcc.gov/ecfs/document/view?id=7521089187","  (3 pages)")</f>
        <v xml:space="preserve">  (3 pages)</v>
      </c>
      <c r="C131" s="15" t="s">
        <v>855</v>
      </c>
      <c r="D131" s="16" t="s">
        <v>954</v>
      </c>
      <c r="E131" s="17" t="s">
        <v>944</v>
      </c>
    </row>
    <row r="132" spans="1:5" s="28" customFormat="1" ht="27.6" x14ac:dyDescent="0.3">
      <c r="A132" s="13" t="s">
        <v>226</v>
      </c>
      <c r="B132" s="14" t="str">
        <f>HYPERLINK("http://apps.fcc.gov/ecfs/document/view?id=7521089028","Docket 10 90 Expression of Interest letter (2 pages)")</f>
        <v>Docket 10 90 Expression of Interest letter (2 pages)</v>
      </c>
      <c r="C132" s="15" t="s">
        <v>854</v>
      </c>
      <c r="D132" s="16"/>
      <c r="E132" s="17" t="s">
        <v>966</v>
      </c>
    </row>
    <row r="133" spans="1:5" s="28" customFormat="1" ht="41.4" x14ac:dyDescent="0.3">
      <c r="A133" s="29" t="s">
        <v>815</v>
      </c>
      <c r="B133" s="24" t="str">
        <f>HYPERLINK("http://apps.fcc.gov/ecfs/document/view?id=7521089667","Expression of Interest CAF Rural Broadband Experiment Project (4 pages)")</f>
        <v>Expression of Interest CAF Rural Broadband Experiment Project (4 pages)</v>
      </c>
      <c r="C133" s="17" t="s">
        <v>873</v>
      </c>
      <c r="D133" s="26"/>
      <c r="E133" s="17" t="s">
        <v>972</v>
      </c>
    </row>
    <row r="134" spans="1:5" s="28" customFormat="1" ht="13.8" x14ac:dyDescent="0.3">
      <c r="A134" s="29" t="s">
        <v>814</v>
      </c>
      <c r="B134" s="24" t="str">
        <f>HYPERLINK("http://apps.fcc.gov/ecfs/document/view?id=7521089638","Expression of Interest (2 pages)")</f>
        <v>Expression of Interest (2 pages)</v>
      </c>
      <c r="C134" s="17" t="s">
        <v>854</v>
      </c>
      <c r="D134" s="26"/>
      <c r="E134" s="17" t="s">
        <v>932</v>
      </c>
    </row>
    <row r="135" spans="1:5" s="28" customFormat="1" ht="13.8" x14ac:dyDescent="0.3">
      <c r="A135" s="29" t="s">
        <v>813</v>
      </c>
      <c r="B135" s="24" t="str">
        <f>HYPERLINK("http://apps.fcc.gov/ecfs/document/view?id=7521089735","  (2 pages)")</f>
        <v xml:space="preserve">  (2 pages)</v>
      </c>
      <c r="C135" s="17" t="s">
        <v>854</v>
      </c>
      <c r="D135" s="26"/>
      <c r="E135" s="17"/>
    </row>
    <row r="136" spans="1:5" s="28" customFormat="1" ht="41.4" x14ac:dyDescent="0.3">
      <c r="A136" s="29" t="s">
        <v>812</v>
      </c>
      <c r="B136" s="24" t="str">
        <f>HYPERLINK("http://apps.fcc.gov/ecfs/document/view?id=7521089767","Expression of Interest (14 pages)")</f>
        <v>Expression of Interest (14 pages)</v>
      </c>
      <c r="C136" s="17" t="s">
        <v>867</v>
      </c>
      <c r="D136" s="26" t="s">
        <v>1218</v>
      </c>
      <c r="E136" s="17" t="s">
        <v>1219</v>
      </c>
    </row>
    <row r="137" spans="1:5" s="28" customFormat="1" ht="13.8" x14ac:dyDescent="0.3">
      <c r="A137" s="13" t="s">
        <v>532</v>
      </c>
      <c r="B137" s="14" t="str">
        <f>HYPERLINK("http://apps.fcc.gov/ecfs/document/view?id=7521084490","Expression of Interest (2 pages)")</f>
        <v>Expression of Interest (2 pages)</v>
      </c>
      <c r="C137" s="15" t="s">
        <v>854</v>
      </c>
      <c r="D137" s="16"/>
      <c r="E137" s="17" t="s">
        <v>2</v>
      </c>
    </row>
    <row r="138" spans="1:5" s="28" customFormat="1" ht="41.4" x14ac:dyDescent="0.3">
      <c r="A138" s="29" t="s">
        <v>811</v>
      </c>
      <c r="B138" s="24" t="str">
        <f>HYPERLINK("http://apps.fcc.gov/ecfs/document/view?id=7521089814","IAN Nexgen Letter of Interest for Docket 10 90 for rural broadband (6 pages)")</f>
        <v>IAN Nexgen Letter of Interest for Docket 10 90 for rural broadband (6 pages)</v>
      </c>
      <c r="C138" s="17" t="s">
        <v>873</v>
      </c>
      <c r="D138" s="26" t="s">
        <v>1248</v>
      </c>
      <c r="E138" s="17" t="s">
        <v>937</v>
      </c>
    </row>
    <row r="139" spans="1:5" s="28" customFormat="1" ht="13.8" x14ac:dyDescent="0.3">
      <c r="A139" s="28" t="s">
        <v>1104</v>
      </c>
      <c r="B139" s="10" t="str">
        <f>HYPERLINK("http://apps.fcc.gov/ecfs/document/view?id=7521092676","Expression of Interest (2 pages)")</f>
        <v>Expression of Interest (2 pages)</v>
      </c>
      <c r="C139" s="17" t="s">
        <v>854</v>
      </c>
      <c r="D139" s="29"/>
    </row>
    <row r="140" spans="1:5" s="28" customFormat="1" ht="27.6" x14ac:dyDescent="0.3">
      <c r="A140" s="29" t="s">
        <v>810</v>
      </c>
      <c r="B140" s="24" t="str">
        <f>HYPERLINK("http://apps.fcc.gov/ecfs/document/view?id=7521089729","CW WC 10 90 expression of interest (4 pages)")</f>
        <v>CW WC 10 90 expression of interest (4 pages)</v>
      </c>
      <c r="C140" s="17" t="s">
        <v>859</v>
      </c>
      <c r="D140" s="26"/>
      <c r="E140" s="17" t="s">
        <v>924</v>
      </c>
    </row>
    <row r="141" spans="1:5" s="28" customFormat="1" ht="13.8" x14ac:dyDescent="0.3">
      <c r="A141" s="13" t="s">
        <v>398</v>
      </c>
      <c r="B141" s="14" t="str">
        <f>HYPERLINK("http://apps.fcc.gov/ecfs/document/view?id=7521088720","  (2 pages)")</f>
        <v xml:space="preserve">  (2 pages)</v>
      </c>
      <c r="C141" s="15" t="s">
        <v>854</v>
      </c>
      <c r="D141" s="16"/>
      <c r="E141" s="17"/>
    </row>
    <row r="142" spans="1:5" s="28" customFormat="1" ht="13.8" x14ac:dyDescent="0.3">
      <c r="A142" s="13" t="s">
        <v>225</v>
      </c>
      <c r="B142" s="14" t="str">
        <f>HYPERLINK("http://apps.fcc.gov/ecfs/document/view?id=7521089078"," (2 pages)")</f>
        <v xml:space="preserve"> (2 pages)</v>
      </c>
      <c r="C142" s="15" t="s">
        <v>854</v>
      </c>
      <c r="D142" s="16"/>
      <c r="E142" s="17" t="s">
        <v>965</v>
      </c>
    </row>
    <row r="143" spans="1:5" s="28" customFormat="1" ht="13.8" x14ac:dyDescent="0.3">
      <c r="A143" s="13" t="s">
        <v>111</v>
      </c>
      <c r="B143" s="14" t="str">
        <f>HYPERLINK("http://apps.fcc.gov/ecfs/document/view?id=7521089384","  (3 pages)")</f>
        <v xml:space="preserve">  (3 pages)</v>
      </c>
      <c r="C143" s="15" t="s">
        <v>855</v>
      </c>
      <c r="D143" s="16"/>
      <c r="E143" s="17" t="s">
        <v>965</v>
      </c>
    </row>
    <row r="144" spans="1:5" s="28" customFormat="1" ht="41.4" x14ac:dyDescent="0.3">
      <c r="A144" s="13" t="s">
        <v>110</v>
      </c>
      <c r="B144" s="14" t="str">
        <f>HYPERLINK("http://apps.fcc.gov/ecfs/document/view?id=7521089315","Letter of Interest Rural Broadband Experiment connect American Fund (4 pages)")</f>
        <v>Letter of Interest Rural Broadband Experiment connect American Fund (4 pages)</v>
      </c>
      <c r="C144" s="15" t="s">
        <v>873</v>
      </c>
      <c r="D144" s="16"/>
      <c r="E144" s="17" t="s">
        <v>943</v>
      </c>
    </row>
    <row r="145" spans="1:5" s="28" customFormat="1" ht="27.6" x14ac:dyDescent="0.3">
      <c r="A145" s="13" t="s">
        <v>109</v>
      </c>
      <c r="B145" s="14" t="str">
        <f>HYPERLINK("http://apps.fcc.gov/ecfs/document/view?id=7521089342","Letter of Interest in the Matter of Connect America Fund (2 pages)")</f>
        <v>Letter of Interest in the Matter of Connect America Fund (2 pages)</v>
      </c>
      <c r="C145" s="15" t="s">
        <v>854</v>
      </c>
      <c r="D145" s="16" t="s">
        <v>1182</v>
      </c>
      <c r="E145" s="17" t="s">
        <v>958</v>
      </c>
    </row>
    <row r="146" spans="1:5" s="28" customFormat="1" ht="27.6" x14ac:dyDescent="0.3">
      <c r="A146" s="13" t="s">
        <v>224</v>
      </c>
      <c r="B146" s="14" t="str">
        <f>HYPERLINK("http://apps.fcc.gov/ecfs/document/view?id=7521089079","  (2 pages)")</f>
        <v xml:space="preserve">  (2 pages)</v>
      </c>
      <c r="C146" s="15" t="s">
        <v>854</v>
      </c>
      <c r="D146" s="16" t="s">
        <v>953</v>
      </c>
      <c r="E146" s="17" t="s">
        <v>936</v>
      </c>
    </row>
    <row r="147" spans="1:5" s="28" customFormat="1" ht="27.6" x14ac:dyDescent="0.3">
      <c r="A147" s="13" t="s">
        <v>322</v>
      </c>
      <c r="B147" s="14" t="str">
        <f>HYPERLINK("http://apps.fcc.gov/ecfs/document/view?id=7521088979","Chester Telephone Letter of Interest (2 pages)")</f>
        <v>Chester Telephone Letter of Interest (2 pages)</v>
      </c>
      <c r="C147" s="15" t="s">
        <v>854</v>
      </c>
      <c r="D147" s="16"/>
      <c r="E147" s="17" t="s">
        <v>970</v>
      </c>
    </row>
    <row r="148" spans="1:5" s="28" customFormat="1" ht="13.8" x14ac:dyDescent="0.3">
      <c r="A148" s="29" t="s">
        <v>809</v>
      </c>
      <c r="B148" s="24" t="str">
        <f>HYPERLINK("http://apps.fcc.gov/ecfs/document/view?id=7521089635","  (2 pages)")</f>
        <v xml:space="preserve">  (2 pages)</v>
      </c>
      <c r="C148" s="17" t="s">
        <v>854</v>
      </c>
      <c r="D148" s="26"/>
      <c r="E148" s="17" t="s">
        <v>925</v>
      </c>
    </row>
    <row r="149" spans="1:5" s="28" customFormat="1" ht="13.8" x14ac:dyDescent="0.3">
      <c r="A149" s="13" t="s">
        <v>1035</v>
      </c>
      <c r="B149" s="14" t="str">
        <f>HYPERLINK("http://apps.fcc.gov/ecfs/document/view?id=7521089224","10 90 EoI (7 pages)")</f>
        <v>10 90 EoI (7 pages)</v>
      </c>
      <c r="C149" s="15">
        <v>7</v>
      </c>
      <c r="D149" s="16"/>
      <c r="E149" s="17" t="s">
        <v>963</v>
      </c>
    </row>
    <row r="150" spans="1:5" s="28" customFormat="1" ht="13.8" x14ac:dyDescent="0.3">
      <c r="A150" s="29" t="s">
        <v>808</v>
      </c>
      <c r="B150" s="24" t="str">
        <f>HYPERLINK("http://apps.fcc.gov/ecfs/document/view?id=7521089589","  (3 pages)")</f>
        <v xml:space="preserve">  (3 pages)</v>
      </c>
      <c r="C150" s="17" t="s">
        <v>855</v>
      </c>
      <c r="D150" s="26"/>
      <c r="E150" s="17" t="s">
        <v>1217</v>
      </c>
    </row>
    <row r="151" spans="1:5" s="28" customFormat="1" ht="13.8" x14ac:dyDescent="0.3">
      <c r="A151" s="29" t="s">
        <v>807</v>
      </c>
      <c r="B151" s="24" t="str">
        <f>HYPERLINK("http://apps.fcc.gov/ecfs/document/view?id=7521089660","Letter of Intent (3 pages)")</f>
        <v>Letter of Intent (3 pages)</v>
      </c>
      <c r="C151" s="17" t="s">
        <v>873</v>
      </c>
      <c r="D151" s="26"/>
      <c r="E151" s="17" t="s">
        <v>939</v>
      </c>
    </row>
    <row r="152" spans="1:5" s="28" customFormat="1" ht="27.6" x14ac:dyDescent="0.3">
      <c r="A152" s="13" t="s">
        <v>108</v>
      </c>
      <c r="B152" s="14" t="str">
        <f>HYPERLINK("http://apps.fcc.gov/ecfs/document/view?id=7521089423","Expression of Interest EOI  (22 pages)")</f>
        <v>Expression of Interest EOI  (22 pages)</v>
      </c>
      <c r="C152" s="15" t="s">
        <v>870</v>
      </c>
      <c r="D152" s="16" t="s">
        <v>1181</v>
      </c>
      <c r="E152" s="17" t="s">
        <v>1079</v>
      </c>
    </row>
    <row r="153" spans="1:5" s="28" customFormat="1" ht="13.8" x14ac:dyDescent="0.3">
      <c r="A153" s="29" t="s">
        <v>806</v>
      </c>
      <c r="B153" s="24" t="str">
        <f>HYPERLINK("http://apps.fcc.gov/ecfs/document/view?id=7521089599","  (3 pages)")</f>
        <v xml:space="preserve">  (3 pages)</v>
      </c>
      <c r="C153" s="17" t="s">
        <v>855</v>
      </c>
      <c r="D153" s="26"/>
      <c r="E153" s="17" t="s">
        <v>965</v>
      </c>
    </row>
    <row r="154" spans="1:5" s="28" customFormat="1" ht="27.6" x14ac:dyDescent="0.3">
      <c r="A154" s="29" t="s">
        <v>805</v>
      </c>
      <c r="B154" s="24" t="str">
        <f>HYPERLINK("http://apps.fcc.gov/ecfs/document/view?id=7521089706","Technology Transition Experiment Letter of Interest (4 pages)")</f>
        <v>Technology Transition Experiment Letter of Interest (4 pages)</v>
      </c>
      <c r="C154" s="17" t="s">
        <v>859</v>
      </c>
      <c r="D154" s="26" t="s">
        <v>1216</v>
      </c>
      <c r="E154" s="17" t="s">
        <v>928</v>
      </c>
    </row>
    <row r="155" spans="1:5" s="28" customFormat="1" ht="13.8" x14ac:dyDescent="0.3">
      <c r="A155" s="29" t="s">
        <v>804</v>
      </c>
      <c r="B155" s="24" t="str">
        <f>HYPERLINK("http://apps.fcc.gov/ecfs/document/view?id=7521089483","  (2 pages)")</f>
        <v xml:space="preserve">  (2 pages)</v>
      </c>
      <c r="C155" s="17" t="s">
        <v>854</v>
      </c>
      <c r="D155" s="26"/>
      <c r="E155" s="17" t="s">
        <v>925</v>
      </c>
    </row>
    <row r="156" spans="1:5" s="28" customFormat="1" ht="13.8" x14ac:dyDescent="0.3">
      <c r="A156" s="28" t="s">
        <v>1103</v>
      </c>
      <c r="B156" s="10" t="str">
        <f>HYPERLINK("http://apps.fcc.gov/ecfs/document/view?id=7521093451","Expression of Interest (4 pages)")</f>
        <v>Expression of Interest (4 pages)</v>
      </c>
      <c r="C156" s="17" t="s">
        <v>859</v>
      </c>
      <c r="D156" s="29"/>
      <c r="E156" s="17" t="s">
        <v>935</v>
      </c>
    </row>
    <row r="157" spans="1:5" s="28" customFormat="1" ht="27.6" x14ac:dyDescent="0.3">
      <c r="A157" s="13" t="s">
        <v>397</v>
      </c>
      <c r="B157" s="14" t="str">
        <f>HYPERLINK("http://apps.fcc.gov/ecfs/document/view?id=7521088691","Expression of Interest Docket No 10 90 (4 pages)")</f>
        <v>Expression of Interest Docket No 10 90 (4 pages)</v>
      </c>
      <c r="C157" s="15" t="s">
        <v>859</v>
      </c>
      <c r="D157" s="16"/>
      <c r="E157" s="17" t="s">
        <v>973</v>
      </c>
    </row>
    <row r="158" spans="1:5" s="28" customFormat="1" ht="13.8" x14ac:dyDescent="0.3">
      <c r="A158" s="13" t="s">
        <v>107</v>
      </c>
      <c r="B158" s="14" t="str">
        <f>HYPERLINK("http://apps.fcc.gov/ecfs/document/view?id=7521089460","  (1 page)")</f>
        <v xml:space="preserve">  (1 page)</v>
      </c>
      <c r="C158" s="15" t="s">
        <v>862</v>
      </c>
      <c r="D158" s="16"/>
      <c r="E158" s="17" t="s">
        <v>925</v>
      </c>
    </row>
    <row r="159" spans="1:5" s="28" customFormat="1" ht="13.8" x14ac:dyDescent="0.3">
      <c r="A159" s="28" t="s">
        <v>1102</v>
      </c>
      <c r="B159" s="10" t="str">
        <f>HYPERLINK("http://apps.fcc.gov/ecfs/document/view?id=7521092537","  (7 pages)")</f>
        <v xml:space="preserve">  (7 pages)</v>
      </c>
      <c r="C159" s="17" t="s">
        <v>866</v>
      </c>
      <c r="D159" s="29"/>
      <c r="E159" s="17" t="s">
        <v>932</v>
      </c>
    </row>
    <row r="160" spans="1:5" s="28" customFormat="1" ht="27.6" x14ac:dyDescent="0.3">
      <c r="A160" s="13" t="s">
        <v>396</v>
      </c>
      <c r="B160" s="14" t="str">
        <f>HYPERLINK("http://apps.fcc.gov/ecfs/document/view?id=7521088736","EOI for Rural Broadband Experiment (11 pages)")</f>
        <v>EOI for Rural Broadband Experiment (11 pages)</v>
      </c>
      <c r="C160" s="15" t="s">
        <v>876</v>
      </c>
      <c r="D160" s="16"/>
      <c r="E160" s="17" t="s">
        <v>968</v>
      </c>
    </row>
    <row r="161" spans="1:5" s="28" customFormat="1" ht="27.6" x14ac:dyDescent="0.3">
      <c r="A161" s="29" t="s">
        <v>803</v>
      </c>
      <c r="B161" s="24" t="str">
        <f>HYPERLINK("http://apps.fcc.gov/ecfs/document/view?id=7521089923","City of Belfast Expression of Interest FCC WC Docket No 10 90 (13 pages)")</f>
        <v>City of Belfast Expression of Interest FCC WC Docket No 10 90 (13 pages)</v>
      </c>
      <c r="C161" s="17" t="s">
        <v>871</v>
      </c>
      <c r="D161" s="26"/>
      <c r="E161" s="17" t="s">
        <v>969</v>
      </c>
    </row>
    <row r="162" spans="1:5" s="28" customFormat="1" ht="13.8" x14ac:dyDescent="0.3">
      <c r="A162" s="13" t="s">
        <v>536</v>
      </c>
      <c r="B162" s="14" t="str">
        <f>HYPERLINK("http://apps.fcc.gov/ecfs/document/view?id=7521084322","  (3 pages)")</f>
        <v xml:space="preserve">  (3 pages)</v>
      </c>
      <c r="C162" s="15" t="s">
        <v>855</v>
      </c>
      <c r="D162" s="16"/>
      <c r="E162" s="17" t="s">
        <v>2</v>
      </c>
    </row>
    <row r="163" spans="1:5" s="28" customFormat="1" ht="13.8" x14ac:dyDescent="0.3">
      <c r="A163" s="13" t="s">
        <v>459</v>
      </c>
      <c r="B163" s="14" t="str">
        <f>HYPERLINK("http://apps.fcc.gov/ecfs/document/view?id=7521088408","Expression of Interest (4 pages)")</f>
        <v>Expression of Interest (4 pages)</v>
      </c>
      <c r="C163" s="15" t="s">
        <v>859</v>
      </c>
      <c r="D163" s="16"/>
      <c r="E163" s="17" t="s">
        <v>930</v>
      </c>
    </row>
    <row r="164" spans="1:5" s="28" customFormat="1" ht="13.8" x14ac:dyDescent="0.3">
      <c r="A164" s="13" t="s">
        <v>395</v>
      </c>
      <c r="B164" s="14" t="str">
        <f>HYPERLINK("http://apps.fcc.gov/ecfs/document/view?id=7521088652","  (2 pages)")</f>
        <v xml:space="preserve">  (2 pages)</v>
      </c>
      <c r="C164" s="15" t="s">
        <v>854</v>
      </c>
      <c r="D164" s="16"/>
      <c r="E164" s="17" t="s">
        <v>930</v>
      </c>
    </row>
    <row r="165" spans="1:5" s="28" customFormat="1" ht="27.6" x14ac:dyDescent="0.3">
      <c r="A165" s="13" t="s">
        <v>321</v>
      </c>
      <c r="B165" s="14" t="str">
        <f>HYPERLINK("http://apps.fcc.gov/ecfs/document/view?id=7521088941","Letter of Interest (3 pages)")</f>
        <v>Letter of Interest (3 pages)</v>
      </c>
      <c r="C165" s="15" t="s">
        <v>855</v>
      </c>
      <c r="D165" s="16"/>
      <c r="E165" s="17" t="s">
        <v>979</v>
      </c>
    </row>
    <row r="166" spans="1:5" s="28" customFormat="1" ht="13.8" x14ac:dyDescent="0.3">
      <c r="A166" s="29" t="s">
        <v>802</v>
      </c>
      <c r="B166" s="24" t="str">
        <f>HYPERLINK("http://apps.fcc.gov/ecfs/document/view?id=7521089480","  (2 pages)")</f>
        <v xml:space="preserve">  (2 pages)</v>
      </c>
      <c r="C166" s="17" t="s">
        <v>854</v>
      </c>
      <c r="D166" s="26"/>
      <c r="E166" s="17" t="s">
        <v>924</v>
      </c>
    </row>
    <row r="167" spans="1:5" s="28" customFormat="1" ht="27.6" x14ac:dyDescent="0.3">
      <c r="A167" s="29" t="s">
        <v>801</v>
      </c>
      <c r="B167" s="24" t="str">
        <f>HYPERLINK("http://apps.fcc.gov/ecfs/document/view?id=7521089778","Expression of Interest WC Docket 10 90 (7 pages)")</f>
        <v>Expression of Interest WC Docket 10 90 (7 pages)</v>
      </c>
      <c r="C167" s="17" t="s">
        <v>866</v>
      </c>
      <c r="D167" s="26"/>
      <c r="E167" s="17" t="s">
        <v>964</v>
      </c>
    </row>
    <row r="168" spans="1:5" s="28" customFormat="1" ht="13.8" x14ac:dyDescent="0.3">
      <c r="A168" s="13" t="s">
        <v>551</v>
      </c>
      <c r="B168" s="14" t="str">
        <f>HYPERLINK("http://apps.fcc.gov/ecfs/document/view?id=7521073882","  (3 pages)")</f>
        <v xml:space="preserve">  (3 pages)</v>
      </c>
      <c r="C168" s="15" t="s">
        <v>855</v>
      </c>
      <c r="D168" s="16"/>
      <c r="E168" s="17" t="s">
        <v>2</v>
      </c>
    </row>
    <row r="169" spans="1:5" s="28" customFormat="1" ht="13.8" x14ac:dyDescent="0.3">
      <c r="A169" s="13" t="s">
        <v>394</v>
      </c>
      <c r="B169" s="14" t="str">
        <f>HYPERLINK("http://apps.fcc.gov/ecfs/document/view?id=7521088718","  (2 pages)")</f>
        <v xml:space="preserve">  (2 pages)</v>
      </c>
      <c r="C169" s="15" t="s">
        <v>854</v>
      </c>
      <c r="D169" s="16"/>
      <c r="E169" s="17" t="s">
        <v>939</v>
      </c>
    </row>
    <row r="170" spans="1:5" s="28" customFormat="1" ht="27.6" x14ac:dyDescent="0.3">
      <c r="A170" s="13" t="s">
        <v>458</v>
      </c>
      <c r="B170" s="14" t="str">
        <f>HYPERLINK("http://apps.fcc.gov/ecfs/document/view?id=7521088584","City of South Portland ME Letter of Interest (2 pages)")</f>
        <v>City of South Portland ME Letter of Interest (2 pages)</v>
      </c>
      <c r="C170" s="15" t="s">
        <v>854</v>
      </c>
      <c r="D170" s="16"/>
      <c r="E170" s="17" t="s">
        <v>944</v>
      </c>
    </row>
    <row r="171" spans="1:5" s="28" customFormat="1" ht="13.8" x14ac:dyDescent="0.3">
      <c r="A171" s="29" t="s">
        <v>800</v>
      </c>
      <c r="B171" s="24" t="str">
        <f>HYPERLINK("http://apps.fcc.gov/ecfs/document/view?id=7521089554","  (5 pages)")</f>
        <v xml:space="preserve">  (5 pages)</v>
      </c>
      <c r="C171" s="17" t="s">
        <v>857</v>
      </c>
      <c r="D171" s="26"/>
      <c r="E171" s="17" t="s">
        <v>967</v>
      </c>
    </row>
    <row r="172" spans="1:5" s="28" customFormat="1" ht="27.6" x14ac:dyDescent="0.3">
      <c r="A172" s="13" t="s">
        <v>223</v>
      </c>
      <c r="B172" s="14" t="str">
        <f>HYPERLINK("http://apps.fcc.gov/ecfs/document/view?id=7521089110","  (5 pages)")</f>
        <v xml:space="preserve">  (5 pages)</v>
      </c>
      <c r="C172" s="15" t="s">
        <v>857</v>
      </c>
      <c r="D172" s="16" t="s">
        <v>952</v>
      </c>
      <c r="E172" s="17" t="s">
        <v>924</v>
      </c>
    </row>
    <row r="173" spans="1:5" s="28" customFormat="1" ht="13.8" x14ac:dyDescent="0.3">
      <c r="A173" s="29" t="s">
        <v>799</v>
      </c>
      <c r="B173" s="24" t="str">
        <f>HYPERLINK("http://apps.fcc.gov/ecfs/document/view?id=7521089885","Expression of Interest (4 pages)")</f>
        <v>Expression of Interest (4 pages)</v>
      </c>
      <c r="C173" s="17" t="s">
        <v>859</v>
      </c>
      <c r="D173" s="26"/>
      <c r="E173" s="17" t="s">
        <v>935</v>
      </c>
    </row>
    <row r="174" spans="1:5" s="28" customFormat="1" ht="27.6" x14ac:dyDescent="0.3">
      <c r="A174" s="29" t="s">
        <v>798</v>
      </c>
      <c r="B174" s="24" t="str">
        <f>HYPERLINK("http://apps.fcc.gov/ecfs/document/view?id=7521089745","Endeavor EOI (4 pages)")</f>
        <v>Endeavor EOI (4 pages)</v>
      </c>
      <c r="C174" s="17" t="s">
        <v>859</v>
      </c>
      <c r="D174" s="26"/>
      <c r="E174" s="17" t="s">
        <v>931</v>
      </c>
    </row>
    <row r="175" spans="1:5" s="28" customFormat="1" ht="13.8" x14ac:dyDescent="0.3">
      <c r="A175" s="13" t="s">
        <v>393</v>
      </c>
      <c r="B175" s="14" t="str">
        <f>HYPERLINK("http://apps.fcc.gov/ecfs/document/view?id=7521088737","Expression of Interest (2 pages)")</f>
        <v>Expression of Interest (2 pages)</v>
      </c>
      <c r="C175" s="15" t="s">
        <v>854</v>
      </c>
      <c r="D175" s="16"/>
      <c r="E175" s="17" t="s">
        <v>935</v>
      </c>
    </row>
    <row r="176" spans="1:5" s="28" customFormat="1" ht="13.8" x14ac:dyDescent="0.3">
      <c r="A176" s="13" t="s">
        <v>106</v>
      </c>
      <c r="B176" s="14" t="str">
        <f>HYPERLINK("http://apps.fcc.gov/ecfs/document/view?id=7521089378","Expression of Interest (2 pages)")</f>
        <v>Expression of Interest (2 pages)</v>
      </c>
      <c r="C176" s="15" t="s">
        <v>854</v>
      </c>
      <c r="D176" s="16"/>
      <c r="E176" s="17" t="s">
        <v>943</v>
      </c>
    </row>
    <row r="177" spans="1:5" s="28" customFormat="1" ht="13.8" x14ac:dyDescent="0.3">
      <c r="A177" s="13" t="s">
        <v>222</v>
      </c>
      <c r="B177" s="14" t="str">
        <f>HYPERLINK("http://apps.fcc.gov/ecfs/document/view?id=7521089227","  (4 pages)")</f>
        <v xml:space="preserve">  (4 pages)</v>
      </c>
      <c r="C177" s="15" t="s">
        <v>859</v>
      </c>
      <c r="D177" s="16"/>
      <c r="E177" s="17" t="s">
        <v>964</v>
      </c>
    </row>
    <row r="178" spans="1:5" s="28" customFormat="1" ht="27.6" x14ac:dyDescent="0.3">
      <c r="A178" s="13" t="s">
        <v>320</v>
      </c>
      <c r="B178" s="14" t="str">
        <f>HYPERLINK("http://apps.fcc.gov/ecfs/document/view?id=7521088958","  (6 pages)")</f>
        <v xml:space="preserve">  (6 pages)</v>
      </c>
      <c r="C178" s="15" t="s">
        <v>873</v>
      </c>
      <c r="D178" s="16"/>
      <c r="E178" s="17" t="s">
        <v>943</v>
      </c>
    </row>
    <row r="179" spans="1:5" s="28" customFormat="1" ht="13.8" x14ac:dyDescent="0.3">
      <c r="A179" s="29" t="s">
        <v>821</v>
      </c>
      <c r="B179" s="24" t="str">
        <f>HYPERLINK("http://apps.fcc.gov/ecfs/document/view?id=7521090001","Expression of Interest (3 pages)")</f>
        <v>Expression of Interest (3 pages)</v>
      </c>
      <c r="C179" s="17" t="s">
        <v>855</v>
      </c>
      <c r="D179" s="26"/>
      <c r="E179" s="17" t="s">
        <v>966</v>
      </c>
    </row>
    <row r="180" spans="1:5" s="28" customFormat="1" ht="27.6" x14ac:dyDescent="0.3">
      <c r="A180" s="29" t="s">
        <v>797</v>
      </c>
      <c r="B180" s="24" t="str">
        <f>HYPERLINK("http://apps.fcc.gov/ecfs/document/view?id=7521089803","Coleman County Expression of Interest (4 pages)")</f>
        <v>Coleman County Expression of Interest (4 pages)</v>
      </c>
      <c r="C180" s="17" t="s">
        <v>859</v>
      </c>
      <c r="D180" s="26"/>
      <c r="E180" s="17" t="s">
        <v>926</v>
      </c>
    </row>
    <row r="181" spans="1:5" s="28" customFormat="1" ht="13.8" x14ac:dyDescent="0.3">
      <c r="A181" s="13" t="s">
        <v>220</v>
      </c>
      <c r="B181" s="14" t="str">
        <f>HYPERLINK("http://apps.fcc.gov/ecfs/document/view?id=7521089115","CMEC Expression of Interest (7 pages)")</f>
        <v>CMEC Expression of Interest (7 pages)</v>
      </c>
      <c r="C181" s="15" t="s">
        <v>866</v>
      </c>
      <c r="D181" s="16"/>
      <c r="E181" s="17" t="s">
        <v>959</v>
      </c>
    </row>
    <row r="182" spans="1:5" s="28" customFormat="1" ht="13.8" x14ac:dyDescent="0.3">
      <c r="A182" s="29" t="s">
        <v>909</v>
      </c>
      <c r="B182" s="24" t="str">
        <f>HYPERLINK("http://apps.fcc.gov/ecfs/document/view?id=7521090292","Letter of Interest (7 pages)")</f>
        <v>Letter of Interest (7 pages)</v>
      </c>
      <c r="C182" s="30" t="s">
        <v>866</v>
      </c>
      <c r="D182" s="26"/>
      <c r="E182" s="17" t="s">
        <v>943</v>
      </c>
    </row>
    <row r="183" spans="1:5" s="28" customFormat="1" ht="13.8" x14ac:dyDescent="0.3">
      <c r="A183" s="29" t="s">
        <v>794</v>
      </c>
      <c r="B183" s="24" t="str">
        <f>HYPERLINK("http://apps.fcc.gov/ecfs/document/view?id=7521089593","  (7 pages)")</f>
        <v xml:space="preserve">  (7 pages)</v>
      </c>
      <c r="C183" s="17" t="s">
        <v>866</v>
      </c>
      <c r="D183" s="26"/>
      <c r="E183" s="17" t="s">
        <v>1215</v>
      </c>
    </row>
    <row r="184" spans="1:5" s="28" customFormat="1" ht="13.8" x14ac:dyDescent="0.3">
      <c r="A184" s="28" t="s">
        <v>1110</v>
      </c>
      <c r="B184" s="10" t="str">
        <f>HYPERLINK("http://apps.fcc.gov/ecfs/document/view?id=7521093711","  (2 pages)")</f>
        <v xml:space="preserve">  (2 pages)</v>
      </c>
      <c r="C184" s="17" t="s">
        <v>854</v>
      </c>
      <c r="D184" s="29"/>
      <c r="E184" s="17" t="s">
        <v>932</v>
      </c>
    </row>
    <row r="185" spans="1:5" s="28" customFormat="1" ht="13.8" x14ac:dyDescent="0.3">
      <c r="A185" s="13" t="s">
        <v>529</v>
      </c>
      <c r="B185" s="14" t="str">
        <f>HYPERLINK("http://apps.fcc.gov/ecfs/document/view?id=7521084865","  (2 pages)")</f>
        <v xml:space="preserve">  (2 pages)</v>
      </c>
      <c r="C185" s="15" t="s">
        <v>854</v>
      </c>
      <c r="D185" s="16"/>
      <c r="E185" s="17" t="s">
        <v>1006</v>
      </c>
    </row>
    <row r="186" spans="1:5" s="28" customFormat="1" ht="13.8" x14ac:dyDescent="0.3">
      <c r="A186" s="13" t="s">
        <v>221</v>
      </c>
      <c r="B186" s="31" t="str">
        <f>HYPERLINK("http://apps.fcc.gov/ecfs/document/view?id=B247+D248+D2517521089094","  (3 pages)")</f>
        <v xml:space="preserve">  (3 pages)</v>
      </c>
      <c r="C186" s="15" t="s">
        <v>855</v>
      </c>
      <c r="D186" s="16"/>
      <c r="E186" s="17" t="s">
        <v>2</v>
      </c>
    </row>
    <row r="187" spans="1:5" s="28" customFormat="1" ht="13.8" x14ac:dyDescent="0.3">
      <c r="A187" s="29" t="s">
        <v>793</v>
      </c>
      <c r="B187" s="24" t="str">
        <f>HYPERLINK("http://apps.fcc.gov/ecfs/document/view?id=7521089768","  (14 pages)")</f>
        <v xml:space="preserve">  (14 pages)</v>
      </c>
      <c r="C187" s="17" t="s">
        <v>867</v>
      </c>
      <c r="D187" s="26"/>
      <c r="E187" s="17" t="s">
        <v>970</v>
      </c>
    </row>
    <row r="188" spans="1:5" s="28" customFormat="1" ht="13.8" x14ac:dyDescent="0.3">
      <c r="A188" s="29" t="s">
        <v>796</v>
      </c>
      <c r="B188" s="24" t="str">
        <f>HYPERLINK("http://apps.fcc.gov/ecfs/document/view?id=7521089914","  (1 page)")</f>
        <v xml:space="preserve">  (1 page)</v>
      </c>
      <c r="C188" s="17" t="s">
        <v>862</v>
      </c>
      <c r="D188" s="26"/>
      <c r="E188" s="17" t="s">
        <v>925</v>
      </c>
    </row>
    <row r="189" spans="1:5" s="28" customFormat="1" ht="13.8" x14ac:dyDescent="0.3">
      <c r="A189" s="29" t="s">
        <v>795</v>
      </c>
      <c r="B189" s="24" t="str">
        <f>HYPERLINK("http://apps.fcc.gov/ecfs/document/view?id=7521089912","  (2 pages)")</f>
        <v xml:space="preserve">  (2 pages)</v>
      </c>
      <c r="C189" s="17" t="s">
        <v>854</v>
      </c>
      <c r="D189" s="26"/>
      <c r="E189" s="17" t="s">
        <v>925</v>
      </c>
    </row>
    <row r="190" spans="1:5" s="28" customFormat="1" ht="13.8" x14ac:dyDescent="0.3">
      <c r="A190" s="13" t="s">
        <v>319</v>
      </c>
      <c r="B190" s="14" t="str">
        <f>HYPERLINK("http://apps.fcc.gov/ecfs/document/view?id=7521088922","  (5 pages)")</f>
        <v xml:space="preserve">  (5 pages)</v>
      </c>
      <c r="C190" s="15" t="s">
        <v>857</v>
      </c>
      <c r="D190" s="16"/>
      <c r="E190" s="17" t="s">
        <v>944</v>
      </c>
    </row>
    <row r="191" spans="1:5" s="28" customFormat="1" ht="27.6" x14ac:dyDescent="0.3">
      <c r="A191" s="13" t="s">
        <v>515</v>
      </c>
      <c r="B191" s="14" t="str">
        <f>HYPERLINK("http://apps.fcc.gov/ecfs/document/view?id=7521088162","Letter of Interest Rural Broadband Trials (4 pages)")</f>
        <v>Letter of Interest Rural Broadband Trials (4 pages)</v>
      </c>
      <c r="C191" s="15" t="s">
        <v>859</v>
      </c>
      <c r="D191" s="16"/>
      <c r="E191" s="17" t="s">
        <v>989</v>
      </c>
    </row>
    <row r="192" spans="1:5" s="28" customFormat="1" ht="13.8" x14ac:dyDescent="0.3">
      <c r="A192" s="13" t="s">
        <v>392</v>
      </c>
      <c r="B192" s="14" t="str">
        <f>HYPERLINK("http://apps.fcc.gov/ecfs/document/view?id=7521088715","Expression of Interest Letter (2 pages)")</f>
        <v>Expression of Interest Letter (2 pages)</v>
      </c>
      <c r="C192" s="15" t="s">
        <v>854</v>
      </c>
      <c r="D192" s="16"/>
      <c r="E192" s="17" t="s">
        <v>933</v>
      </c>
    </row>
    <row r="193" spans="1:5" s="28" customFormat="1" ht="13.8" x14ac:dyDescent="0.3">
      <c r="A193" s="29" t="s">
        <v>792</v>
      </c>
      <c r="B193" s="24" t="str">
        <f>HYPERLINK("http://apps.fcc.gov/ecfs/document/view?id=7521089643","  (5 pages)")</f>
        <v xml:space="preserve">  (5 pages)</v>
      </c>
      <c r="C193" s="17" t="s">
        <v>877</v>
      </c>
      <c r="D193" s="26"/>
      <c r="E193" s="17" t="s">
        <v>964</v>
      </c>
    </row>
    <row r="194" spans="1:5" s="28" customFormat="1" ht="27.6" x14ac:dyDescent="0.3">
      <c r="A194" s="13" t="s">
        <v>105</v>
      </c>
      <c r="B194" s="14" t="str">
        <f>HYPERLINK("http://apps.fcc.gov/ecfs/document/view?id=7521089391","CA Rural working Group Comments (3 pages)")</f>
        <v>CA Rural working Group Comments (3 pages)</v>
      </c>
      <c r="C194" s="15" t="s">
        <v>855</v>
      </c>
      <c r="D194" s="16" t="s">
        <v>1180</v>
      </c>
      <c r="E194" s="17" t="s">
        <v>928</v>
      </c>
    </row>
    <row r="195" spans="1:5" s="28" customFormat="1" ht="27.6" x14ac:dyDescent="0.3">
      <c r="A195" s="29" t="s">
        <v>105</v>
      </c>
      <c r="B195" s="24" t="str">
        <f>HYPERLINK("http://apps.fcc.gov/ecfs/document/view?id=7521089847","Redwood Coast Connect (4 pages)")</f>
        <v>Redwood Coast Connect (4 pages)</v>
      </c>
      <c r="C195" s="17" t="s">
        <v>859</v>
      </c>
      <c r="D195" s="26" t="s">
        <v>1214</v>
      </c>
      <c r="E195" s="17" t="s">
        <v>928</v>
      </c>
    </row>
    <row r="196" spans="1:5" s="28" customFormat="1" ht="13.8" x14ac:dyDescent="0.3">
      <c r="A196" s="29" t="s">
        <v>791</v>
      </c>
      <c r="B196" s="24" t="str">
        <f>HYPERLINK("http://apps.fcc.gov/ecfs/document/view?id=7521089640","Expression of Interest (6 pages)")</f>
        <v>Expression of Interest (6 pages)</v>
      </c>
      <c r="C196" s="17" t="s">
        <v>856</v>
      </c>
      <c r="D196" s="26"/>
      <c r="E196" s="17" t="s">
        <v>933</v>
      </c>
    </row>
    <row r="197" spans="1:5" s="28" customFormat="1" ht="27.6" x14ac:dyDescent="0.3">
      <c r="A197" s="13" t="s">
        <v>219</v>
      </c>
      <c r="B197" s="14" t="str">
        <f>HYPERLINK("http://apps.fcc.gov/ecfs/document/view?id=7521089130","Expression of Interest (4 pages)")</f>
        <v>Expression of Interest (4 pages)</v>
      </c>
      <c r="C197" s="15" t="s">
        <v>859</v>
      </c>
      <c r="D197" s="16" t="s">
        <v>951</v>
      </c>
      <c r="E197" s="17" t="s">
        <v>2</v>
      </c>
    </row>
    <row r="198" spans="1:5" s="28" customFormat="1" ht="27.6" x14ac:dyDescent="0.3">
      <c r="A198" s="13" t="s">
        <v>391</v>
      </c>
      <c r="B198" s="14" t="str">
        <f>HYPERLINK("http://apps.fcc.gov/ecfs/document/view?id=7521088631","Rural BBand Experiment Letter of Interest (2 pages)")</f>
        <v>Rural BBand Experiment Letter of Interest (2 pages)</v>
      </c>
      <c r="C198" s="15" t="s">
        <v>854</v>
      </c>
      <c r="D198" s="16"/>
      <c r="E198" s="17" t="s">
        <v>1001</v>
      </c>
    </row>
    <row r="199" spans="1:5" s="28" customFormat="1" ht="27.6" x14ac:dyDescent="0.3">
      <c r="A199" s="13" t="s">
        <v>390</v>
      </c>
      <c r="B199" s="14" t="str">
        <f>HYPERLINK("http://apps.fcc.gov/ecfs/document/view?id=7521088630","Rural BBand Experiment Letter of Interest (2 pages)")</f>
        <v>Rural BBand Experiment Letter of Interest (2 pages)</v>
      </c>
      <c r="C199" s="15" t="s">
        <v>854</v>
      </c>
      <c r="D199" s="16"/>
      <c r="E199" s="17" t="s">
        <v>1001</v>
      </c>
    </row>
    <row r="200" spans="1:5" s="28" customFormat="1" ht="13.8" x14ac:dyDescent="0.3">
      <c r="A200" s="13" t="s">
        <v>514</v>
      </c>
      <c r="B200" s="14" t="str">
        <f>HYPERLINK("http://apps.fcc.gov/ecfs/document/view?id=7521088283","  (3 pages)")</f>
        <v xml:space="preserve">  (3 pages)</v>
      </c>
      <c r="C200" s="15" t="s">
        <v>855</v>
      </c>
      <c r="D200" s="16"/>
      <c r="E200" s="17" t="s">
        <v>964</v>
      </c>
    </row>
    <row r="201" spans="1:5" s="28" customFormat="1" ht="13.8" x14ac:dyDescent="0.3">
      <c r="A201" s="13" t="s">
        <v>218</v>
      </c>
      <c r="B201" s="14" t="str">
        <f>HYPERLINK("http://apps.fcc.gov/ecfs/document/view?id=7521089122","  (2 pages)")</f>
        <v xml:space="preserve">  (2 pages)</v>
      </c>
      <c r="C201" s="15" t="s">
        <v>854</v>
      </c>
      <c r="D201" s="16"/>
      <c r="E201" s="17" t="s">
        <v>944</v>
      </c>
    </row>
    <row r="202" spans="1:5" s="28" customFormat="1" ht="13.8" x14ac:dyDescent="0.3">
      <c r="A202" s="13" t="s">
        <v>318</v>
      </c>
      <c r="B202" s="14" t="str">
        <f>HYPERLINK("http://apps.fcc.gov/ecfs/document/view?id=7521088920","Expression of Interest (4 pages)")</f>
        <v>Expression of Interest (4 pages)</v>
      </c>
      <c r="C202" s="15" t="s">
        <v>859</v>
      </c>
      <c r="D202" s="16"/>
      <c r="E202" s="17" t="s">
        <v>988</v>
      </c>
    </row>
    <row r="203" spans="1:5" s="28" customFormat="1" ht="13.8" x14ac:dyDescent="0.3">
      <c r="A203" s="13" t="s">
        <v>104</v>
      </c>
      <c r="B203" s="14" t="str">
        <f>HYPERLINK("http://apps.fcc.gov/ecfs/document/view?id=7521089427","  (4 pages)")</f>
        <v xml:space="preserve">  (4 pages)</v>
      </c>
      <c r="C203" s="15" t="s">
        <v>859</v>
      </c>
      <c r="D203" s="16"/>
      <c r="E203" s="17" t="s">
        <v>959</v>
      </c>
    </row>
    <row r="204" spans="1:5" s="28" customFormat="1" ht="27.6" x14ac:dyDescent="0.3">
      <c r="A204" s="13" t="s">
        <v>389</v>
      </c>
      <c r="B204" s="14" t="str">
        <f>HYPERLINK("http://apps.fcc.gov/ecfs/document/view?id=7521088648","Conxxus Expression of Interest (3 pages)")</f>
        <v>Conxxus Expression of Interest (3 pages)</v>
      </c>
      <c r="C204" s="15" t="s">
        <v>855</v>
      </c>
      <c r="D204" s="16"/>
      <c r="E204" s="17" t="s">
        <v>959</v>
      </c>
    </row>
    <row r="205" spans="1:5" s="28" customFormat="1" ht="13.8" x14ac:dyDescent="0.3">
      <c r="A205" s="29" t="s">
        <v>920</v>
      </c>
      <c r="B205" s="24" t="str">
        <f>HYPERLINK("http://apps.fcc.gov/ecfs/document/view?id=7521090235","Expression of Interest (3 pages)")</f>
        <v>Expression of Interest (3 pages)</v>
      </c>
      <c r="C205" s="30" t="s">
        <v>855</v>
      </c>
      <c r="D205" s="26"/>
      <c r="E205" s="17" t="s">
        <v>935</v>
      </c>
    </row>
    <row r="206" spans="1:5" s="28" customFormat="1" ht="13.8" x14ac:dyDescent="0.3">
      <c r="A206" s="29" t="s">
        <v>790</v>
      </c>
      <c r="B206" s="24" t="str">
        <f>HYPERLINK("http://apps.fcc.gov/ecfs/document/view?id=7521089865","Rural Broadband EOI (2 pages)")</f>
        <v>Rural Broadband EOI (2 pages)</v>
      </c>
      <c r="C206" s="17" t="s">
        <v>854</v>
      </c>
      <c r="D206" s="26"/>
      <c r="E206" s="17" t="s">
        <v>931</v>
      </c>
    </row>
    <row r="207" spans="1:5" s="28" customFormat="1" ht="13.8" x14ac:dyDescent="0.3">
      <c r="A207" s="13" t="s">
        <v>388</v>
      </c>
      <c r="B207" s="14" t="str">
        <f>HYPERLINK("http://apps.fcc.gov/ecfs/document/view?id=7521088704","  (4 pages)")</f>
        <v xml:space="preserve">  (4 pages)</v>
      </c>
      <c r="C207" s="15" t="s">
        <v>859</v>
      </c>
      <c r="D207" s="16"/>
      <c r="E207" s="17" t="s">
        <v>979</v>
      </c>
    </row>
    <row r="208" spans="1:5" s="28" customFormat="1" ht="27.6" x14ac:dyDescent="0.3">
      <c r="A208" s="13" t="s">
        <v>402</v>
      </c>
      <c r="B208" s="14" t="str">
        <f>HYPERLINK("http://apps.fcc.gov/ecfs/document/view?id=7521088678","CoquiTel FCC Expression of Interest (5 pages)")</f>
        <v>CoquiTel FCC Expression of Interest (5 pages)</v>
      </c>
      <c r="C208" s="15" t="s">
        <v>877</v>
      </c>
      <c r="D208" s="16"/>
      <c r="E208" s="17" t="s">
        <v>974</v>
      </c>
    </row>
    <row r="209" spans="1:5" s="28" customFormat="1" ht="13.8" x14ac:dyDescent="0.3">
      <c r="A209" s="29" t="s">
        <v>789</v>
      </c>
      <c r="B209" s="24" t="str">
        <f>HYPERLINK("http://apps.fcc.gov/ecfs/document/view?id=7521089879","Expression of Interest (3 pages)")</f>
        <v>Expression of Interest (3 pages)</v>
      </c>
      <c r="C209" s="17" t="s">
        <v>855</v>
      </c>
      <c r="D209" s="26"/>
      <c r="E209" s="17" t="s">
        <v>969</v>
      </c>
    </row>
    <row r="210" spans="1:5" s="28" customFormat="1" ht="27.6" x14ac:dyDescent="0.3">
      <c r="A210" s="13" t="s">
        <v>550</v>
      </c>
      <c r="B210" s="14" t="str">
        <f>HYPERLINK("http://apps.fcc.gov/ecfs/document/view?id=7521073919","Expression of Interest Rural Trials (2 pages)")</f>
        <v>Expression of Interest Rural Trials (2 pages)</v>
      </c>
      <c r="C210" s="15" t="s">
        <v>854</v>
      </c>
      <c r="D210" s="16"/>
      <c r="E210" s="17" t="s">
        <v>965</v>
      </c>
    </row>
    <row r="211" spans="1:5" s="28" customFormat="1" ht="13.8" x14ac:dyDescent="0.3">
      <c r="A211" s="29" t="s">
        <v>904</v>
      </c>
      <c r="B211" s="24" t="str">
        <f>HYPERLINK("http://apps.fcc.gov/ecfs/document/view?id=7521090487","  (2 pages)")</f>
        <v xml:space="preserve">  (2 pages)</v>
      </c>
      <c r="C211" s="30" t="s">
        <v>854</v>
      </c>
      <c r="D211" s="26"/>
      <c r="E211" s="17" t="s">
        <v>944</v>
      </c>
    </row>
    <row r="212" spans="1:5" s="28" customFormat="1" ht="27.6" x14ac:dyDescent="0.3">
      <c r="A212" s="13" t="s">
        <v>103</v>
      </c>
      <c r="B212" s="14" t="str">
        <f>HYPERLINK("http://apps.fcc.gov/ecfs/document/view?id=7521089322","Cheshire County EoI (6 pages)")</f>
        <v>Cheshire County EoI (6 pages)</v>
      </c>
      <c r="C212" s="15" t="s">
        <v>872</v>
      </c>
      <c r="D212" s="16" t="s">
        <v>1179</v>
      </c>
      <c r="E212" s="17" t="s">
        <v>978</v>
      </c>
    </row>
    <row r="213" spans="1:5" s="28" customFormat="1" ht="13.8" x14ac:dyDescent="0.3">
      <c r="A213" s="13" t="s">
        <v>102</v>
      </c>
      <c r="B213" s="14" t="str">
        <f>HYPERLINK("http://apps.fcc.gov/ecfs/document/view?id=7521089375","Letter of Interest (2 pages)")</f>
        <v>Letter of Interest (2 pages)</v>
      </c>
      <c r="C213" s="15" t="s">
        <v>855</v>
      </c>
      <c r="D213" s="16"/>
      <c r="E213" s="17" t="s">
        <v>932</v>
      </c>
    </row>
    <row r="214" spans="1:5" s="28" customFormat="1" ht="27.6" x14ac:dyDescent="0.3">
      <c r="A214" s="29" t="s">
        <v>788</v>
      </c>
      <c r="B214" s="24" t="str">
        <f>HYPERLINK("http://apps.fcc.gov/ecfs/document/view?id=7521089652","Rural Broadband Experiment Expression of Interest (8 pages)")</f>
        <v>Rural Broadband Experiment Expression of Interest (8 pages)</v>
      </c>
      <c r="C214" s="17" t="s">
        <v>873</v>
      </c>
      <c r="D214" s="26"/>
      <c r="E214" s="17" t="s">
        <v>932</v>
      </c>
    </row>
    <row r="215" spans="1:5" s="28" customFormat="1" ht="13.8" x14ac:dyDescent="0.3">
      <c r="A215" s="13" t="s">
        <v>513</v>
      </c>
      <c r="B215" s="14" t="str">
        <f>HYPERLINK("http://apps.fcc.gov/ecfs/document/view?id=7521088141","  (7 pages)")</f>
        <v xml:space="preserve">  (7 pages)</v>
      </c>
      <c r="C215" s="15" t="s">
        <v>866</v>
      </c>
      <c r="D215" s="16"/>
      <c r="E215" s="17" t="s">
        <v>939</v>
      </c>
    </row>
    <row r="216" spans="1:5" s="28" customFormat="1" ht="13.8" x14ac:dyDescent="0.3">
      <c r="A216" s="13" t="s">
        <v>101</v>
      </c>
      <c r="B216" s="14" t="str">
        <f>HYPERLINK("http://apps.fcc.gov/ecfs/document/view?id=7521089341","Cox Expression of Interest (3 pages)")</f>
        <v>Cox Expression of Interest (3 pages)</v>
      </c>
      <c r="C216" s="15" t="s">
        <v>855</v>
      </c>
      <c r="D216" s="16"/>
      <c r="E216" s="17"/>
    </row>
    <row r="217" spans="1:5" s="28" customFormat="1" ht="13.8" x14ac:dyDescent="0.3">
      <c r="A217" s="13" t="s">
        <v>228</v>
      </c>
      <c r="B217" s="14" t="str">
        <f>HYPERLINK("http://apps.fcc.gov/ecfs/document/view?id=7521089083","  (4 pages)")</f>
        <v xml:space="preserve">  (4 pages)</v>
      </c>
      <c r="C217" s="15" t="s">
        <v>859</v>
      </c>
      <c r="D217" s="16" t="s">
        <v>1036</v>
      </c>
      <c r="E217" s="17" t="s">
        <v>967</v>
      </c>
    </row>
    <row r="218" spans="1:5" s="28" customFormat="1" ht="13.8" x14ac:dyDescent="0.3">
      <c r="A218" s="29" t="s">
        <v>787</v>
      </c>
      <c r="B218" s="24" t="str">
        <f>HYPERLINK("http://apps.fcc.gov/ecfs/document/view?id=7521089618","  (5 pages)")</f>
        <v xml:space="preserve">  (5 pages)</v>
      </c>
      <c r="C218" s="17" t="s">
        <v>857</v>
      </c>
      <c r="D218" s="26" t="s">
        <v>1212</v>
      </c>
      <c r="E218" s="17" t="s">
        <v>1213</v>
      </c>
    </row>
    <row r="219" spans="1:5" s="28" customFormat="1" ht="45" customHeight="1" x14ac:dyDescent="0.3">
      <c r="A219" s="29" t="s">
        <v>786</v>
      </c>
      <c r="B219" s="24" t="str">
        <f>HYPERLINK("http://apps.fcc.gov/ecfs/document/view?id=7521089081","Rural CAF Experiment Intent (6 pages)")</f>
        <v>Rural CAF Experiment Intent (6 pages)</v>
      </c>
      <c r="C219" s="17" t="s">
        <v>856</v>
      </c>
      <c r="D219" s="26" t="s">
        <v>1211</v>
      </c>
      <c r="E219" s="17" t="s">
        <v>935</v>
      </c>
    </row>
    <row r="220" spans="1:5" s="28" customFormat="1" ht="13.8" x14ac:dyDescent="0.3">
      <c r="A220" s="29" t="s">
        <v>785</v>
      </c>
      <c r="B220" s="24" t="str">
        <f>HYPERLINK("http://apps.fcc.gov/ecfs/document/view?id=7521089722","  (3 pages)")</f>
        <v xml:space="preserve">  (3 pages)</v>
      </c>
      <c r="C220" s="17" t="s">
        <v>855</v>
      </c>
      <c r="D220" s="26"/>
      <c r="E220" s="17" t="s">
        <v>965</v>
      </c>
    </row>
    <row r="221" spans="1:5" s="28" customFormat="1" ht="13.8" x14ac:dyDescent="0.3">
      <c r="A221" s="29" t="s">
        <v>784</v>
      </c>
      <c r="B221" s="24" t="str">
        <f>HYPERLINK("http://apps.fcc.gov/ecfs/document/view?id=7521089736","  (3 pages)")</f>
        <v xml:space="preserve">  (3 pages)</v>
      </c>
      <c r="C221" s="17" t="s">
        <v>855</v>
      </c>
      <c r="D221" s="26"/>
      <c r="E221" s="17" t="s">
        <v>965</v>
      </c>
    </row>
    <row r="222" spans="1:5" s="28" customFormat="1" ht="13.8" x14ac:dyDescent="0.3">
      <c r="A222" s="13" t="s">
        <v>387</v>
      </c>
      <c r="B222" s="14" t="str">
        <f>HYPERLINK("http://apps.fcc.gov/ecfs/document/view?id=7521088627","Expression of Interest (9 pages)")</f>
        <v>Expression of Interest (9 pages)</v>
      </c>
      <c r="C222" s="15" t="s">
        <v>860</v>
      </c>
      <c r="D222" s="16"/>
      <c r="E222" s="17" t="s">
        <v>973</v>
      </c>
    </row>
    <row r="223" spans="1:5" s="28" customFormat="1" ht="13.8" x14ac:dyDescent="0.3">
      <c r="A223" s="29" t="s">
        <v>783</v>
      </c>
      <c r="B223" s="24" t="str">
        <f>HYPERLINK("http://apps.fcc.gov/ecfs/document/view?id=7521089922","  (6 pages)")</f>
        <v xml:space="preserve">  (6 pages)</v>
      </c>
      <c r="C223" s="17" t="s">
        <v>856</v>
      </c>
      <c r="D223" s="26" t="s">
        <v>1210</v>
      </c>
      <c r="E223" s="17" t="s">
        <v>943</v>
      </c>
    </row>
    <row r="224" spans="1:5" s="28" customFormat="1" ht="13.8" x14ac:dyDescent="0.3">
      <c r="A224" s="13" t="s">
        <v>115</v>
      </c>
      <c r="B224" s="14" t="str">
        <f>HYPERLINK("http://apps.fcc.gov/ecfs/document/view?id=7521089436","  (3 pages)")</f>
        <v xml:space="preserve">  (3 pages)</v>
      </c>
      <c r="C224" s="15" t="s">
        <v>855</v>
      </c>
      <c r="D224" s="16"/>
      <c r="E224" s="17" t="s">
        <v>963</v>
      </c>
    </row>
    <row r="225" spans="1:5" s="28" customFormat="1" ht="27.6" x14ac:dyDescent="0.3">
      <c r="A225" s="13" t="s">
        <v>217</v>
      </c>
      <c r="B225" s="14" t="str">
        <f>HYPERLINK("http://apps.fcc.gov/ecfs/document/view?id=7521089030","Docket 10 90 Expression of Interest letter (2 pages)")</f>
        <v>Docket 10 90 Expression of Interest letter (2 pages)</v>
      </c>
      <c r="C225" s="15" t="s">
        <v>854</v>
      </c>
      <c r="D225" s="16"/>
      <c r="E225" s="17" t="s">
        <v>963</v>
      </c>
    </row>
    <row r="226" spans="1:5" s="28" customFormat="1" ht="13.8" x14ac:dyDescent="0.3">
      <c r="A226" s="13" t="s">
        <v>100</v>
      </c>
      <c r="B226" s="14" t="str">
        <f>HYPERLINK("http://apps.fcc.gov/ecfs/document/view?id=7521089446","  (1 page)")</f>
        <v xml:space="preserve">  (1 page)</v>
      </c>
      <c r="C226" s="15" t="s">
        <v>854</v>
      </c>
      <c r="D226" s="16"/>
      <c r="E226" s="17" t="s">
        <v>935</v>
      </c>
    </row>
    <row r="227" spans="1:5" s="28" customFormat="1" ht="13.8" x14ac:dyDescent="0.3">
      <c r="A227" s="29" t="s">
        <v>782</v>
      </c>
      <c r="B227" s="24" t="str">
        <f>HYPERLINK("http://apps.fcc.gov/ecfs/document/view?id=7521089535","  (3 pages)")</f>
        <v xml:space="preserve">  (3 pages)</v>
      </c>
      <c r="C227" s="17" t="s">
        <v>855</v>
      </c>
      <c r="D227" s="26"/>
      <c r="E227" s="17" t="s">
        <v>926</v>
      </c>
    </row>
    <row r="228" spans="1:5" s="28" customFormat="1" ht="13.8" x14ac:dyDescent="0.3">
      <c r="A228" s="29" t="s">
        <v>781</v>
      </c>
      <c r="B228" s="24" t="str">
        <f>HYPERLINK("http://apps.fcc.gov/ecfs/document/view?id=7521089529","  (2 pages)")</f>
        <v xml:space="preserve">  (2 pages)</v>
      </c>
      <c r="C228" s="17" t="s">
        <v>854</v>
      </c>
      <c r="D228" s="26"/>
      <c r="E228" s="17" t="s">
        <v>926</v>
      </c>
    </row>
    <row r="229" spans="1:5" s="28" customFormat="1" ht="13.8" x14ac:dyDescent="0.3">
      <c r="A229" s="13" t="s">
        <v>512</v>
      </c>
      <c r="B229" s="14" t="str">
        <f>HYPERLINK("http://apps.fcc.gov/ecfs/document/view?id=7521087784","  (6 pages)")</f>
        <v xml:space="preserve">  (6 pages)</v>
      </c>
      <c r="C229" s="15" t="s">
        <v>856</v>
      </c>
      <c r="D229" s="16"/>
      <c r="E229" s="17" t="s">
        <v>930</v>
      </c>
    </row>
    <row r="230" spans="1:5" s="28" customFormat="1" ht="13.8" x14ac:dyDescent="0.3">
      <c r="A230" s="13" t="s">
        <v>1034</v>
      </c>
      <c r="B230" s="14" t="str">
        <f>HYPERLINK("http://apps.fcc.gov/ecfs/document/view?id=7521089239","  (4 pages)")</f>
        <v xml:space="preserve">  (4 pages)</v>
      </c>
      <c r="C230" s="15" t="s">
        <v>859</v>
      </c>
      <c r="D230" s="16"/>
      <c r="E230" s="17" t="s">
        <v>962</v>
      </c>
    </row>
    <row r="231" spans="1:5" s="28" customFormat="1" ht="13.8" x14ac:dyDescent="0.3">
      <c r="A231" s="13" t="s">
        <v>114</v>
      </c>
      <c r="B231" s="14" t="str">
        <f>HYPERLINK("http://apps.fcc.gov/ecfs/document/view?id=7521089283","  (20 pages)")</f>
        <v xml:space="preserve">  (20 pages)</v>
      </c>
      <c r="C231" s="15" t="s">
        <v>864</v>
      </c>
      <c r="D231" s="16"/>
      <c r="E231" s="17" t="s">
        <v>928</v>
      </c>
    </row>
    <row r="232" spans="1:5" s="28" customFormat="1" ht="13.8" x14ac:dyDescent="0.3">
      <c r="A232" s="29" t="s">
        <v>780</v>
      </c>
      <c r="B232" s="24" t="str">
        <f>HYPERLINK("http://apps.fcc.gov/ecfs/document/view?id=7521089684","Letter of Interest (3 pages)")</f>
        <v>Letter of Interest (3 pages)</v>
      </c>
      <c r="C232" s="17" t="s">
        <v>857</v>
      </c>
      <c r="D232" s="26" t="s">
        <v>1209</v>
      </c>
      <c r="E232" s="17" t="s">
        <v>942</v>
      </c>
    </row>
    <row r="233" spans="1:5" s="28" customFormat="1" ht="13.8" x14ac:dyDescent="0.3">
      <c r="A233" s="13" t="s">
        <v>510</v>
      </c>
      <c r="B233" s="14" t="str">
        <f>HYPERLINK("http://apps.fcc.gov/ecfs/document/view?id=7521088153","Expression of Interest (17 pages)")</f>
        <v>Expression of Interest (17 pages)</v>
      </c>
      <c r="C233" s="15" t="s">
        <v>863</v>
      </c>
      <c r="D233" s="16"/>
      <c r="E233" s="17" t="s">
        <v>1001</v>
      </c>
    </row>
    <row r="234" spans="1:5" s="28" customFormat="1" ht="27.6" x14ac:dyDescent="0.3">
      <c r="A234" s="13" t="s">
        <v>215</v>
      </c>
      <c r="B234" s="14" t="str">
        <f>HYPERLINK("http://apps.fcc.gov/ecfs/document/view?id=7521089195","Dallas County Wireless Rural CAF EOI (6 pages)")</f>
        <v>Dallas County Wireless Rural CAF EOI (6 pages)</v>
      </c>
      <c r="C234" s="15" t="s">
        <v>856</v>
      </c>
      <c r="D234" s="16" t="s">
        <v>949</v>
      </c>
      <c r="E234" s="17" t="s">
        <v>935</v>
      </c>
    </row>
    <row r="235" spans="1:5" s="28" customFormat="1" ht="31.8" customHeight="1" x14ac:dyDescent="0.3">
      <c r="A235" s="29" t="s">
        <v>778</v>
      </c>
      <c r="B235" s="24" t="str">
        <f>HYPERLINK("http://apps.fcc.gov/ecfs/document/view?id=7521089533","Expression of Interest (5 pages)")</f>
        <v>Expression of Interest (5 pages)</v>
      </c>
      <c r="C235" s="17" t="s">
        <v>857</v>
      </c>
      <c r="D235" s="26" t="s">
        <v>1207</v>
      </c>
      <c r="E235" s="17" t="s">
        <v>964</v>
      </c>
    </row>
    <row r="236" spans="1:5" s="28" customFormat="1" ht="27.6" x14ac:dyDescent="0.3">
      <c r="A236" s="13" t="s">
        <v>552</v>
      </c>
      <c r="B236" s="14" t="str">
        <f>HYPERLINK("http://apps.fcc.gov/ecfs/document/view?id=7521073054","Docket 10 90 Expression of Interest (3 pages)")</f>
        <v>Docket 10 90 Expression of Interest (3 pages)</v>
      </c>
      <c r="C236" s="15" t="s">
        <v>855</v>
      </c>
      <c r="D236" s="16" t="s">
        <v>1069</v>
      </c>
      <c r="E236" s="17" t="s">
        <v>1002</v>
      </c>
    </row>
    <row r="237" spans="1:5" s="28" customFormat="1" ht="27.6" x14ac:dyDescent="0.3">
      <c r="A237" s="13" t="s">
        <v>317</v>
      </c>
      <c r="B237" s="14" t="str">
        <f>HYPERLINK("http://apps.fcc.gov/ecfs/document/view?id=7521088945","Connect America Letter of Interest Martin Co NC (3 pages)")</f>
        <v>Connect America Letter of Interest Martin Co NC (3 pages)</v>
      </c>
      <c r="C237" s="15" t="s">
        <v>855</v>
      </c>
      <c r="D237" s="16" t="s">
        <v>987</v>
      </c>
      <c r="E237" s="17" t="s">
        <v>924</v>
      </c>
    </row>
    <row r="238" spans="1:5" s="28" customFormat="1" ht="27.6" x14ac:dyDescent="0.3">
      <c r="A238" s="13" t="s">
        <v>466</v>
      </c>
      <c r="B238" s="14" t="str">
        <f>HYPERLINK("http://apps.fcc.gov/ecfs/document/view?id=7521088347","Letter of interest in participating in Rural IP Trials (2 pages)")</f>
        <v>Letter of interest in participating in Rural IP Trials (2 pages)</v>
      </c>
      <c r="C238" s="15" t="s">
        <v>854</v>
      </c>
      <c r="D238" s="16"/>
      <c r="E238" s="17" t="s">
        <v>928</v>
      </c>
    </row>
    <row r="239" spans="1:5" s="28" customFormat="1" ht="13.8" x14ac:dyDescent="0.3">
      <c r="A239" s="29" t="s">
        <v>777</v>
      </c>
      <c r="B239" s="24" t="str">
        <f>HYPERLINK("http://apps.fcc.gov/ecfs/document/view?id=7521089941","  (7 pages)")</f>
        <v xml:space="preserve">  (7 pages)</v>
      </c>
      <c r="C239" s="17" t="s">
        <v>866</v>
      </c>
      <c r="D239" s="26" t="s">
        <v>1206</v>
      </c>
      <c r="E239" s="17" t="s">
        <v>943</v>
      </c>
    </row>
    <row r="240" spans="1:5" s="28" customFormat="1" ht="13.8" x14ac:dyDescent="0.3">
      <c r="A240" s="28" t="s">
        <v>1101</v>
      </c>
      <c r="B240" s="32" t="str">
        <f>HYPERLINK("http://apps.fcc.gov/ecfs/document/view?id=7521093557","EOI Letter (6 pages)")</f>
        <v>EOI Letter (6 pages)</v>
      </c>
      <c r="C240" s="17" t="s">
        <v>856</v>
      </c>
      <c r="D240" s="29" t="s">
        <v>1221</v>
      </c>
      <c r="E240" s="17" t="s">
        <v>1084</v>
      </c>
    </row>
    <row r="241" spans="1:5" s="28" customFormat="1" ht="27.6" x14ac:dyDescent="0.3">
      <c r="A241" s="13" t="s">
        <v>99</v>
      </c>
      <c r="B241" s="14" t="str">
        <f>HYPERLINK("http://apps.fcc.gov/ecfs/document/view?id=7521089409","Rural CAF Experiment Expression of Interest (3 pages)")</f>
        <v>Rural CAF Experiment Expression of Interest (3 pages)</v>
      </c>
      <c r="C241" s="15" t="s">
        <v>855</v>
      </c>
      <c r="D241" s="16"/>
      <c r="E241" s="17" t="s">
        <v>930</v>
      </c>
    </row>
    <row r="242" spans="1:5" s="28" customFormat="1" ht="13.8" x14ac:dyDescent="0.3">
      <c r="A242" s="29" t="s">
        <v>776</v>
      </c>
      <c r="B242" s="24" t="str">
        <f>HYPERLINK("http://apps.fcc.gov/ecfs/document/view?id=7521089493","Expression of Interest (4 pages)")</f>
        <v>Expression of Interest (4 pages)</v>
      </c>
      <c r="C242" s="17" t="s">
        <v>859</v>
      </c>
      <c r="D242" s="26"/>
      <c r="E242" s="17" t="s">
        <v>939</v>
      </c>
    </row>
    <row r="243" spans="1:5" s="28" customFormat="1" ht="27.6" x14ac:dyDescent="0.3">
      <c r="A243" s="13" t="s">
        <v>214</v>
      </c>
      <c r="B243" s="14" t="str">
        <f>HYPERLINK("http://apps.fcc.gov/ecfs/document/view?id=7521089072","  (3 pages)")</f>
        <v xml:space="preserve">  (3 pages)</v>
      </c>
      <c r="C243" s="15" t="s">
        <v>855</v>
      </c>
      <c r="D243" s="16" t="s">
        <v>947</v>
      </c>
      <c r="E243" s="17" t="s">
        <v>959</v>
      </c>
    </row>
    <row r="244" spans="1:5" s="28" customFormat="1" ht="27.6" x14ac:dyDescent="0.3">
      <c r="A244" s="13" t="s">
        <v>775</v>
      </c>
      <c r="B244" s="14" t="s">
        <v>1031</v>
      </c>
      <c r="C244" s="15">
        <v>3</v>
      </c>
      <c r="D244" s="16"/>
      <c r="E244" s="17" t="s">
        <v>960</v>
      </c>
    </row>
    <row r="245" spans="1:5" s="28" customFormat="1" ht="13.8" x14ac:dyDescent="0.3">
      <c r="A245" s="29" t="s">
        <v>775</v>
      </c>
      <c r="B245" s="24" t="str">
        <f>HYPERLINK("http://apps.fcc.gov/ecfs/document/view?id=7521089754","Expression of Interest (3 pages)")</f>
        <v>Expression of Interest (3 pages)</v>
      </c>
      <c r="C245" s="17" t="s">
        <v>855</v>
      </c>
      <c r="D245" s="26"/>
      <c r="E245" s="17" t="s">
        <v>929</v>
      </c>
    </row>
    <row r="246" spans="1:5" s="28" customFormat="1" ht="27.6" x14ac:dyDescent="0.3">
      <c r="A246" s="13" t="s">
        <v>948</v>
      </c>
      <c r="B246" s="14" t="s">
        <v>1032</v>
      </c>
      <c r="C246" s="15">
        <v>2</v>
      </c>
      <c r="D246" s="16"/>
      <c r="E246" s="17" t="s">
        <v>961</v>
      </c>
    </row>
    <row r="247" spans="1:5" s="28" customFormat="1" ht="27.6" x14ac:dyDescent="0.3">
      <c r="A247" s="13" t="s">
        <v>948</v>
      </c>
      <c r="B247" s="14" t="s">
        <v>1033</v>
      </c>
      <c r="C247" s="15">
        <v>2</v>
      </c>
      <c r="D247" s="16"/>
      <c r="E247" s="17" t="s">
        <v>961</v>
      </c>
    </row>
    <row r="248" spans="1:5" s="28" customFormat="1" ht="27.6" x14ac:dyDescent="0.3">
      <c r="A248" s="13" t="s">
        <v>98</v>
      </c>
      <c r="B248" s="14" t="str">
        <f>HYPERLINK("http://apps.fcc.gov/ecfs/document/view?id=7521089373","Rural BBand Experiment Letter of Interest RoR (2 pages)")</f>
        <v>Rural BBand Experiment Letter of Interest RoR (2 pages)</v>
      </c>
      <c r="C248" s="15" t="s">
        <v>854</v>
      </c>
      <c r="D248" s="16"/>
      <c r="E248" s="17" t="s">
        <v>961</v>
      </c>
    </row>
    <row r="249" spans="1:5" s="28" customFormat="1" ht="27.6" x14ac:dyDescent="0.3">
      <c r="A249" s="13" t="s">
        <v>97</v>
      </c>
      <c r="B249" s="14" t="str">
        <f>HYPERLINK("http://apps.fcc.gov/ecfs/document/view?id=7521089405","Rural BBand Experiment Letter of Interest PC (2 pages)")</f>
        <v>Rural BBand Experiment Letter of Interest PC (2 pages)</v>
      </c>
      <c r="C249" s="15" t="s">
        <v>854</v>
      </c>
      <c r="D249" s="16"/>
      <c r="E249" s="17" t="s">
        <v>961</v>
      </c>
    </row>
    <row r="250" spans="1:5" s="28" customFormat="1" ht="13.8" x14ac:dyDescent="0.3">
      <c r="A250" s="13" t="s">
        <v>511</v>
      </c>
      <c r="B250" s="14" t="str">
        <f>HYPERLINK("http://apps.fcc.gov/ecfs/document/view?id=7521087961","Expression of Interest (4 pages)")</f>
        <v>Expression of Interest (4 pages)</v>
      </c>
      <c r="C250" s="15" t="s">
        <v>859</v>
      </c>
      <c r="D250" s="16"/>
      <c r="E250" s="17" t="s">
        <v>970</v>
      </c>
    </row>
    <row r="251" spans="1:5" s="28" customFormat="1" ht="27.6" x14ac:dyDescent="0.3">
      <c r="A251" s="13" t="s">
        <v>216</v>
      </c>
      <c r="B251" s="14" t="str">
        <f>HYPERLINK("http://apps.fcc.gov/ecfs/document/view?id=7521088995","DFT EOI Rural CAF Experiment (3 pages)")</f>
        <v>DFT EOI Rural CAF Experiment (3 pages)</v>
      </c>
      <c r="C251" s="15" t="s">
        <v>855</v>
      </c>
      <c r="D251" s="16" t="s">
        <v>950</v>
      </c>
      <c r="E251" s="17" t="s">
        <v>939</v>
      </c>
    </row>
    <row r="252" spans="1:5" s="28" customFormat="1" ht="27.6" x14ac:dyDescent="0.3">
      <c r="A252" s="29" t="s">
        <v>774</v>
      </c>
      <c r="B252" s="24" t="str">
        <f>HYPERLINK("http://apps.fcc.gov/ecfs/document/view?id=7521089648","Rural BBand Experiment Letter of Interest (2 pages)")</f>
        <v>Rural BBand Experiment Letter of Interest (2 pages)</v>
      </c>
      <c r="C252" s="17" t="s">
        <v>854</v>
      </c>
      <c r="D252" s="26"/>
      <c r="E252" s="17" t="s">
        <v>1205</v>
      </c>
    </row>
    <row r="253" spans="1:5" s="28" customFormat="1" ht="13.8" x14ac:dyDescent="0.3">
      <c r="A253" s="13" t="s">
        <v>213</v>
      </c>
      <c r="B253" s="14" t="str">
        <f>HYPERLINK("http://apps.fcc.gov/ecfs/document/view?id=7521089173","  (1 page)")</f>
        <v xml:space="preserve">  (1 page)</v>
      </c>
      <c r="C253" s="15" t="s">
        <v>862</v>
      </c>
      <c r="D253" s="16" t="s">
        <v>946</v>
      </c>
      <c r="E253" s="17" t="s">
        <v>940</v>
      </c>
    </row>
    <row r="254" spans="1:5" s="28" customFormat="1" ht="27.6" x14ac:dyDescent="0.3">
      <c r="A254" s="13" t="s">
        <v>386</v>
      </c>
      <c r="B254" s="14" t="str">
        <f>HYPERLINK("http://apps.fcc.gov/ecfs/document/view?id=7521088763","Diverse EOI Rural CAF Experiment (3 pages)")</f>
        <v>Diverse EOI Rural CAF Experiment (3 pages)</v>
      </c>
      <c r="C254" s="15" t="s">
        <v>855</v>
      </c>
      <c r="D254" s="16"/>
      <c r="E254" s="17" t="s">
        <v>959</v>
      </c>
    </row>
    <row r="255" spans="1:5" s="28" customFormat="1" ht="13.8" x14ac:dyDescent="0.3">
      <c r="A255" s="13" t="s">
        <v>96</v>
      </c>
      <c r="B255" s="14" t="str">
        <f>HYPERLINK("http://apps.fcc.gov/ecfs/document/view?id=7521089408","Expression of Interest (7 pages)")</f>
        <v>Expression of Interest (7 pages)</v>
      </c>
      <c r="C255" s="15" t="s">
        <v>866</v>
      </c>
      <c r="D255" s="16"/>
      <c r="E255" s="17" t="s">
        <v>925</v>
      </c>
    </row>
    <row r="256" spans="1:5" s="28" customFormat="1" ht="34.799999999999997" customHeight="1" x14ac:dyDescent="0.3">
      <c r="A256" s="29" t="s">
        <v>773</v>
      </c>
      <c r="B256" s="24" t="str">
        <f>HYPERLINK("http://apps.fcc.gov/ecfs/document/view?id=7521089474","Expression of Interest (3 pages)")</f>
        <v>Expression of Interest (3 pages)</v>
      </c>
      <c r="C256" s="17" t="s">
        <v>855</v>
      </c>
      <c r="D256" s="26" t="s">
        <v>1204</v>
      </c>
      <c r="E256" s="17" t="s">
        <v>1084</v>
      </c>
    </row>
    <row r="257" spans="1:5" s="28" customFormat="1" ht="13.8" x14ac:dyDescent="0.3">
      <c r="A257" s="29" t="s">
        <v>894</v>
      </c>
      <c r="B257" s="24" t="str">
        <f>HYPERLINK("http://apps.fcc.gov/ecfs/document/view?id=7521091557","  (2 pages)")</f>
        <v xml:space="preserve">  (2 pages)</v>
      </c>
      <c r="C257" s="30" t="s">
        <v>854</v>
      </c>
      <c r="D257" s="26" t="s">
        <v>1158</v>
      </c>
      <c r="E257" s="17" t="s">
        <v>970</v>
      </c>
    </row>
    <row r="258" spans="1:5" s="28" customFormat="1" ht="13.8" x14ac:dyDescent="0.3">
      <c r="A258" s="13" t="s">
        <v>509</v>
      </c>
      <c r="B258" s="14" t="str">
        <f>HYPERLINK("http://apps.fcc.gov/ecfs/document/view?id=7521087739","Expression of Interest (3 pages)")</f>
        <v>Expression of Interest (3 pages)</v>
      </c>
      <c r="C258" s="15" t="s">
        <v>855</v>
      </c>
      <c r="D258" s="16"/>
      <c r="E258" s="17" t="s">
        <v>944</v>
      </c>
    </row>
    <row r="259" spans="1:5" s="28" customFormat="1" ht="41.4" x14ac:dyDescent="0.3">
      <c r="A259" s="13" t="s">
        <v>508</v>
      </c>
      <c r="B259" s="14" t="str">
        <f>HYPERLINK("http://apps.fcc.gov/ecfs/document/view?id=7521088264","Expression of Interest Proposal Fiber in High Cost Areas and Rural America (9 pages)")</f>
        <v>Expression of Interest Proposal Fiber in High Cost Areas and Rural America (9 pages)</v>
      </c>
      <c r="C259" s="15" t="s">
        <v>860</v>
      </c>
      <c r="D259" s="16" t="s">
        <v>996</v>
      </c>
      <c r="E259" s="17"/>
    </row>
    <row r="260" spans="1:5" s="28" customFormat="1" ht="13.8" x14ac:dyDescent="0.3">
      <c r="A260" s="29" t="s">
        <v>779</v>
      </c>
      <c r="B260" s="24" t="str">
        <f>HYPERLINK("http://apps.fcc.gov/ecfs/document/view?id=7521089536","  (7 pages)")</f>
        <v xml:space="preserve">  (7 pages)</v>
      </c>
      <c r="C260" s="17" t="s">
        <v>866</v>
      </c>
      <c r="D260" s="26"/>
      <c r="E260" s="17" t="s">
        <v>1208</v>
      </c>
    </row>
    <row r="261" spans="1:5" s="28" customFormat="1" ht="13.8" x14ac:dyDescent="0.3">
      <c r="A261" s="13" t="s">
        <v>212</v>
      </c>
      <c r="B261" s="14" t="str">
        <f>HYPERLINK("http://apps.fcc.gov/ecfs/document/view?id=7521089087","  (3 pages)")</f>
        <v xml:space="preserve">  (3 pages)</v>
      </c>
      <c r="C261" s="15" t="s">
        <v>855</v>
      </c>
      <c r="D261" s="16"/>
      <c r="E261" s="17" t="s">
        <v>958</v>
      </c>
    </row>
    <row r="262" spans="1:5" s="28" customFormat="1" ht="27.6" x14ac:dyDescent="0.3">
      <c r="A262" s="13" t="s">
        <v>507</v>
      </c>
      <c r="B262" s="14" t="str">
        <f>HYPERLINK("http://apps.fcc.gov/ecfs/document/view?id=7521087761","  (2 pages)")</f>
        <v xml:space="preserve">  (2 pages)</v>
      </c>
      <c r="C262" s="15" t="s">
        <v>854</v>
      </c>
      <c r="D262" s="16"/>
      <c r="E262" s="17" t="s">
        <v>938</v>
      </c>
    </row>
    <row r="263" spans="1:5" s="28" customFormat="1" ht="13.8" x14ac:dyDescent="0.3">
      <c r="A263" s="13" t="s">
        <v>95</v>
      </c>
      <c r="B263" s="14" t="str">
        <f>HYPERLINK("http://apps.fcc.gov/ecfs/document/view?id=7521089350","Letter of Interest (4 pages)")</f>
        <v>Letter of Interest (4 pages)</v>
      </c>
      <c r="C263" s="15" t="s">
        <v>859</v>
      </c>
      <c r="D263" s="16"/>
      <c r="E263" s="17" t="s">
        <v>929</v>
      </c>
    </row>
    <row r="264" spans="1:5" s="28" customFormat="1" ht="13.8" x14ac:dyDescent="0.3">
      <c r="A264" s="13" t="s">
        <v>94</v>
      </c>
      <c r="B264" s="14" t="str">
        <f>HYPERLINK("http://apps.fcc.gov/ecfs/document/view?id=7521089347","Letter of Interest RoR (2 pages)")</f>
        <v>Letter of Interest RoR (2 pages)</v>
      </c>
      <c r="C264" s="15" t="s">
        <v>854</v>
      </c>
      <c r="D264" s="16"/>
      <c r="E264" s="17" t="s">
        <v>929</v>
      </c>
    </row>
    <row r="265" spans="1:5" s="28" customFormat="1" ht="13.8" x14ac:dyDescent="0.3">
      <c r="A265" s="29" t="s">
        <v>772</v>
      </c>
      <c r="B265" s="24" t="str">
        <f>HYPERLINK("http://apps.fcc.gov/ecfs/document/view?id=7521089910","  (2 pages)")</f>
        <v xml:space="preserve">  (2 pages)</v>
      </c>
      <c r="C265" s="17" t="s">
        <v>854</v>
      </c>
      <c r="D265" s="26"/>
      <c r="E265" s="17" t="s">
        <v>979</v>
      </c>
    </row>
    <row r="266" spans="1:5" s="28" customFormat="1" ht="13.8" x14ac:dyDescent="0.3">
      <c r="A266" s="13" t="s">
        <v>545</v>
      </c>
      <c r="B266" s="14" t="str">
        <f>HYPERLINK("http://apps.fcc.gov/ecfs/document/view?id=7521078845","  (1 page)")</f>
        <v xml:space="preserve">  (1 page)</v>
      </c>
      <c r="C266" s="15" t="s">
        <v>854</v>
      </c>
      <c r="D266" s="16"/>
      <c r="E266" s="17" t="s">
        <v>961</v>
      </c>
    </row>
    <row r="267" spans="1:5" s="28" customFormat="1" ht="13.8" x14ac:dyDescent="0.3">
      <c r="A267" s="13" t="s">
        <v>316</v>
      </c>
      <c r="B267" s="14" t="str">
        <f>HYPERLINK("http://apps.fcc.gov/ecfs/document/view?id=7521088861","Expression of Interest (2 pages)")</f>
        <v>Expression of Interest (2 pages)</v>
      </c>
      <c r="C267" s="15" t="s">
        <v>855</v>
      </c>
      <c r="D267" s="16"/>
      <c r="E267" s="17" t="s">
        <v>944</v>
      </c>
    </row>
    <row r="268" spans="1:5" s="28" customFormat="1" ht="27.6" x14ac:dyDescent="0.3">
      <c r="A268" s="29" t="s">
        <v>770</v>
      </c>
      <c r="B268" s="24" t="str">
        <f>HYPERLINK("http://apps.fcc.gov/ecfs/document/view?id=7521089489","Rural Broadband Experiment Expression of Interest (3 pages)")</f>
        <v>Rural Broadband Experiment Expression of Interest (3 pages)</v>
      </c>
      <c r="C268" s="17" t="s">
        <v>855</v>
      </c>
      <c r="D268" s="26"/>
      <c r="E268" s="17" t="s">
        <v>967</v>
      </c>
    </row>
    <row r="269" spans="1:5" s="28" customFormat="1" ht="13.8" x14ac:dyDescent="0.3">
      <c r="A269" s="29" t="s">
        <v>769</v>
      </c>
      <c r="B269" s="24" t="str">
        <f>HYPERLINK("http://apps.fcc.gov/ecfs/document/view?id=7521089601","Expression of Interest (5 pages)")</f>
        <v>Expression of Interest (5 pages)</v>
      </c>
      <c r="C269" s="17" t="s">
        <v>857</v>
      </c>
      <c r="D269" s="26"/>
      <c r="E269" s="17" t="s">
        <v>965</v>
      </c>
    </row>
    <row r="270" spans="1:5" s="28" customFormat="1" ht="13.8" x14ac:dyDescent="0.3">
      <c r="A270" s="29" t="s">
        <v>768</v>
      </c>
      <c r="B270" s="24" t="str">
        <f>HYPERLINK("http://apps.fcc.gov/ecfs/document/view?id=7521089924","  (9 pages)")</f>
        <v xml:space="preserve">  (9 pages)</v>
      </c>
      <c r="C270" s="17" t="s">
        <v>860</v>
      </c>
      <c r="D270" s="26" t="s">
        <v>1202</v>
      </c>
      <c r="E270" s="17" t="s">
        <v>961</v>
      </c>
    </row>
    <row r="271" spans="1:5" s="28" customFormat="1" ht="13.8" x14ac:dyDescent="0.3">
      <c r="A271" s="13" t="s">
        <v>383</v>
      </c>
      <c r="B271" s="14" t="str">
        <f>HYPERLINK("http://apps.fcc.gov/ecfs/document/view?id=7521088629","  (2 pages)")</f>
        <v xml:space="preserve">  (2 pages)</v>
      </c>
      <c r="C271" s="15" t="s">
        <v>854</v>
      </c>
      <c r="D271" s="16"/>
      <c r="E271" s="17" t="s">
        <v>931</v>
      </c>
    </row>
    <row r="272" spans="1:5" s="28" customFormat="1" ht="13.8" x14ac:dyDescent="0.3">
      <c r="A272" s="13" t="s">
        <v>547</v>
      </c>
      <c r="B272" s="14" t="str">
        <f>HYPERLINK("http://apps.fcc.gov/ecfs/document/view?id=7521075375","Expression of Interest (3 pages)")</f>
        <v>Expression of Interest (3 pages)</v>
      </c>
      <c r="C272" s="15" t="s">
        <v>855</v>
      </c>
      <c r="D272" s="16"/>
      <c r="E272" s="17" t="s">
        <v>944</v>
      </c>
    </row>
    <row r="273" spans="1:5" s="28" customFormat="1" ht="13.8" x14ac:dyDescent="0.3">
      <c r="A273" s="13" t="s">
        <v>506</v>
      </c>
      <c r="B273" s="14" t="str">
        <f>HYPERLINK("http://apps.fcc.gov/ecfs/document/view?id=7521088011","Expression of Interest (10 pages)")</f>
        <v>Expression of Interest (10 pages)</v>
      </c>
      <c r="C273" s="15" t="s">
        <v>877</v>
      </c>
      <c r="D273" s="16"/>
      <c r="E273" s="17" t="s">
        <v>1003</v>
      </c>
    </row>
    <row r="274" spans="1:5" s="28" customFormat="1" ht="13.8" x14ac:dyDescent="0.3">
      <c r="A274" s="13" t="s">
        <v>211</v>
      </c>
      <c r="B274" s="14" t="str">
        <f>HYPERLINK("http://apps.fcc.gov/ecfs/document/view?id=7521089012","Expression of Interest (2 pages)")</f>
        <v>Expression of Interest (2 pages)</v>
      </c>
      <c r="C274" s="15">
        <v>2</v>
      </c>
      <c r="D274" s="16"/>
      <c r="E274" s="17" t="s">
        <v>926</v>
      </c>
    </row>
    <row r="275" spans="1:5" s="28" customFormat="1" ht="13.8" x14ac:dyDescent="0.3">
      <c r="A275" s="13" t="s">
        <v>211</v>
      </c>
      <c r="B275" s="14" t="s">
        <v>945</v>
      </c>
      <c r="C275" s="15">
        <v>2</v>
      </c>
      <c r="D275" s="16"/>
      <c r="E275" s="17" t="s">
        <v>926</v>
      </c>
    </row>
    <row r="276" spans="1:5" s="28" customFormat="1" ht="27.6" x14ac:dyDescent="0.3">
      <c r="A276" s="29" t="s">
        <v>767</v>
      </c>
      <c r="B276" s="24" t="str">
        <f>HYPERLINK("http://apps.fcc.gov/ecfs/document/view?id=7521089913","Eastlight Expression of Interest (6 pages)")</f>
        <v>Eastlight Expression of Interest (6 pages)</v>
      </c>
      <c r="C276" s="17" t="s">
        <v>856</v>
      </c>
      <c r="D276" s="26" t="s">
        <v>1201</v>
      </c>
      <c r="E276" s="17" t="s">
        <v>935</v>
      </c>
    </row>
    <row r="277" spans="1:5" s="28" customFormat="1" ht="13.8" x14ac:dyDescent="0.3">
      <c r="A277" s="29" t="s">
        <v>771</v>
      </c>
      <c r="B277" s="24" t="str">
        <f>HYPERLINK("http://apps.fcc.gov/ecfs/document/view?id=7521089748","  (15 pages)")</f>
        <v xml:space="preserve">  (15 pages)</v>
      </c>
      <c r="C277" s="17" t="s">
        <v>889</v>
      </c>
      <c r="D277" s="26" t="s">
        <v>1203</v>
      </c>
      <c r="E277" s="17" t="s">
        <v>1079</v>
      </c>
    </row>
    <row r="278" spans="1:5" s="28" customFormat="1" ht="27.6" x14ac:dyDescent="0.3">
      <c r="A278" s="13" t="s">
        <v>243</v>
      </c>
      <c r="B278" s="14" t="str">
        <f>HYPERLINK("http://apps.fcc.gov/ecfs/document/view?id=7521088935","EOI Rural Broadband Experiment (7 pages)")</f>
        <v>EOI Rural Broadband Experiment (7 pages)</v>
      </c>
      <c r="C278" s="15" t="s">
        <v>866</v>
      </c>
      <c r="D278" s="16"/>
      <c r="E278" s="17" t="s">
        <v>961</v>
      </c>
    </row>
    <row r="279" spans="1:5" s="28" customFormat="1" ht="27.6" x14ac:dyDescent="0.3">
      <c r="A279" s="13" t="s">
        <v>93</v>
      </c>
      <c r="B279" s="14" t="str">
        <f>HYPERLINK("http://apps.fcc.gov/ecfs/document/view?id=7521089241","Rural Broadband Experiment Expression of Interest (3 pages)")</f>
        <v>Rural Broadband Experiment Expression of Interest (3 pages)</v>
      </c>
      <c r="C279" s="15" t="s">
        <v>855</v>
      </c>
      <c r="D279" s="16"/>
      <c r="E279" s="17" t="s">
        <v>973</v>
      </c>
    </row>
    <row r="280" spans="1:5" s="28" customFormat="1" ht="13.8" x14ac:dyDescent="0.3">
      <c r="A280" s="13" t="s">
        <v>456</v>
      </c>
      <c r="B280" s="14" t="str">
        <f>HYPERLINK("http://apps.fcc.gov/ecfs/document/view?id=7521088496","  (4 pages)")</f>
        <v xml:space="preserve">  (4 pages)</v>
      </c>
      <c r="C280" s="15" t="s">
        <v>859</v>
      </c>
      <c r="D280" s="16"/>
      <c r="E280" s="17" t="s">
        <v>1039</v>
      </c>
    </row>
    <row r="281" spans="1:5" s="28" customFormat="1" ht="13.8" x14ac:dyDescent="0.3">
      <c r="A281" s="13" t="s">
        <v>92</v>
      </c>
      <c r="B281" s="14" t="str">
        <f>HYPERLINK("http://apps.fcc.gov/ecfs/document/view?id=7521089319","Delaware Whitespace Project (1 page)")</f>
        <v>Delaware Whitespace Project (1 page)</v>
      </c>
      <c r="C281" s="15" t="s">
        <v>862</v>
      </c>
      <c r="D281" s="16" t="s">
        <v>1231</v>
      </c>
      <c r="E281" s="17" t="s">
        <v>1222</v>
      </c>
    </row>
    <row r="282" spans="1:5" s="28" customFormat="1" ht="27.6" x14ac:dyDescent="0.3">
      <c r="A282" s="13" t="s">
        <v>91</v>
      </c>
      <c r="B282" s="14" t="str">
        <f>HYPERLINK("http://apps.fcc.gov/ecfs/document/view?id=7521089444","Rural BBand Experiment Letter of Interest (2 pages)")</f>
        <v>Rural BBand Experiment Letter of Interest (2 pages)</v>
      </c>
      <c r="C282" s="15" t="s">
        <v>854</v>
      </c>
      <c r="D282" s="16"/>
      <c r="E282" s="17" t="s">
        <v>959</v>
      </c>
    </row>
    <row r="283" spans="1:5" s="28" customFormat="1" ht="27.6" x14ac:dyDescent="0.3">
      <c r="A283" s="13" t="s">
        <v>91</v>
      </c>
      <c r="B283" s="14" t="str">
        <f>HYPERLINK("http://apps.fcc.gov/ecfs/document/view?id=7521089431","Rural BBand Experiment Letter of Interest (2 pages)")</f>
        <v>Rural BBand Experiment Letter of Interest (2 pages)</v>
      </c>
      <c r="C283" s="15" t="s">
        <v>854</v>
      </c>
      <c r="D283" s="16"/>
      <c r="E283" s="17" t="s">
        <v>959</v>
      </c>
    </row>
    <row r="284" spans="1:5" s="28" customFormat="1" ht="27.6" x14ac:dyDescent="0.3">
      <c r="A284" s="13" t="s">
        <v>315</v>
      </c>
      <c r="B284" s="14" t="str">
        <f>HYPERLINK("http://apps.fcc.gov/ecfs/document/view?id=7521088838","IP Experiment Expression of Interest EPCI Inc  (2 pages)")</f>
        <v>IP Experiment Expression of Interest EPCI Inc  (2 pages)</v>
      </c>
      <c r="C284" s="15" t="s">
        <v>854</v>
      </c>
      <c r="D284" s="16"/>
      <c r="E284" s="17" t="s">
        <v>926</v>
      </c>
    </row>
    <row r="285" spans="1:5" s="28" customFormat="1" ht="13.8" x14ac:dyDescent="0.3">
      <c r="A285" s="13" t="s">
        <v>314</v>
      </c>
      <c r="B285" s="14" t="str">
        <f>HYPERLINK("http://apps.fcc.gov/ecfs/document/view?id=7521088806","  (2 pages)")</f>
        <v xml:space="preserve">  (2 pages)</v>
      </c>
      <c r="C285" s="15" t="s">
        <v>861</v>
      </c>
      <c r="D285" s="16"/>
      <c r="E285" s="17" t="s">
        <v>970</v>
      </c>
    </row>
    <row r="286" spans="1:5" s="28" customFormat="1" ht="13.8" x14ac:dyDescent="0.3">
      <c r="A286" s="13" t="s">
        <v>455</v>
      </c>
      <c r="B286" s="14" t="str">
        <f>HYPERLINK("http://apps.fcc.gov/ecfs/document/view?id=7521088448","  (2 pages)")</f>
        <v xml:space="preserve">  (2 pages)</v>
      </c>
      <c r="C286" s="15" t="s">
        <v>854</v>
      </c>
      <c r="D286" s="16"/>
      <c r="E286" s="17" t="s">
        <v>924</v>
      </c>
    </row>
    <row r="287" spans="1:5" s="28" customFormat="1" ht="13.8" x14ac:dyDescent="0.3">
      <c r="A287" s="13" t="s">
        <v>382</v>
      </c>
      <c r="B287" s="14" t="str">
        <f>HYPERLINK("http://apps.fcc.gov/ecfs/document/view?id=7521088695","  (2 pages)")</f>
        <v xml:space="preserve">  (2 pages)</v>
      </c>
      <c r="C287" s="15" t="s">
        <v>854</v>
      </c>
      <c r="D287" s="16"/>
      <c r="E287" s="17" t="s">
        <v>925</v>
      </c>
    </row>
    <row r="288" spans="1:5" s="28" customFormat="1" ht="13.8" x14ac:dyDescent="0.3">
      <c r="A288" s="29" t="s">
        <v>766</v>
      </c>
      <c r="B288" s="24" t="str">
        <f>HYPERLINK("http://apps.fcc.gov/ecfs/document/view?id=7521089788","  (4 pages)")</f>
        <v xml:space="preserve">  (4 pages)</v>
      </c>
      <c r="C288" s="17" t="s">
        <v>859</v>
      </c>
      <c r="D288" s="26"/>
      <c r="E288" s="17" t="s">
        <v>972</v>
      </c>
    </row>
    <row r="289" spans="1:5" s="28" customFormat="1" ht="27.6" x14ac:dyDescent="0.3">
      <c r="A289" s="29" t="s">
        <v>765</v>
      </c>
      <c r="B289" s="24" t="str">
        <f>HYPERLINK("http://apps.fcc.gov/ecfs/document/view?id=7521089771","Rural Broadband Expression of Interest (4 pages)")</f>
        <v>Rural Broadband Expression of Interest (4 pages)</v>
      </c>
      <c r="C289" s="17" t="s">
        <v>859</v>
      </c>
      <c r="D289" s="26"/>
      <c r="E289" s="17" t="s">
        <v>972</v>
      </c>
    </row>
    <row r="290" spans="1:5" s="28" customFormat="1" ht="27.6" x14ac:dyDescent="0.3">
      <c r="A290" s="13" t="s">
        <v>313</v>
      </c>
      <c r="B290" s="14" t="str">
        <f>HYPERLINK("http://apps.fcc.gov/ecfs/document/view?id=7521088975","Rural Experiment Expression of Interest (4 pages)")</f>
        <v>Rural Experiment Expression of Interest (4 pages)</v>
      </c>
      <c r="C290" s="15" t="s">
        <v>859</v>
      </c>
      <c r="D290" s="16"/>
      <c r="E290" s="17" t="s">
        <v>964</v>
      </c>
    </row>
    <row r="291" spans="1:5" s="28" customFormat="1" ht="13.8" x14ac:dyDescent="0.3">
      <c r="A291" s="29" t="s">
        <v>764</v>
      </c>
      <c r="B291" s="24" t="str">
        <f>HYPERLINK("http://apps.fcc.gov/ecfs/document/view?id=7521089670","  (12 pages)")</f>
        <v xml:space="preserve">  (12 pages)</v>
      </c>
      <c r="C291" s="17" t="s">
        <v>861</v>
      </c>
      <c r="D291" s="26"/>
      <c r="E291" s="17" t="s">
        <v>1200</v>
      </c>
    </row>
    <row r="292" spans="1:5" s="28" customFormat="1" ht="13.8" x14ac:dyDescent="0.3">
      <c r="A292" s="29" t="s">
        <v>763</v>
      </c>
      <c r="B292" s="24" t="str">
        <f>HYPERLINK("http://apps.fcc.gov/ecfs/document/view?id=7521089997","  (2 pages)")</f>
        <v xml:space="preserve">  (2 pages)</v>
      </c>
      <c r="C292" s="17" t="s">
        <v>854</v>
      </c>
      <c r="D292" s="26"/>
      <c r="E292" s="17" t="s">
        <v>928</v>
      </c>
    </row>
    <row r="293" spans="1:5" s="28" customFormat="1" ht="13.8" x14ac:dyDescent="0.3">
      <c r="A293" s="13" t="s">
        <v>90</v>
      </c>
      <c r="B293" s="14" t="str">
        <f>HYPERLINK("http://apps.fcc.gov/ecfs/document/view?id=7521089452","Expression of Interest (3 pages)")</f>
        <v>Expression of Interest (3 pages)</v>
      </c>
      <c r="C293" s="15" t="s">
        <v>855</v>
      </c>
      <c r="D293" s="16"/>
      <c r="E293" s="17" t="s">
        <v>942</v>
      </c>
    </row>
    <row r="294" spans="1:5" s="28" customFormat="1" ht="13.8" x14ac:dyDescent="0.3">
      <c r="A294" s="13" t="s">
        <v>454</v>
      </c>
      <c r="B294" s="14" t="str">
        <f>HYPERLINK("http://apps.fcc.gov/ecfs/document/view?id=7521088452","Expression of Interest (2 pages)")</f>
        <v>Expression of Interest (2 pages)</v>
      </c>
      <c r="C294" s="15" t="s">
        <v>854</v>
      </c>
      <c r="D294" s="16"/>
      <c r="E294" s="17" t="s">
        <v>924</v>
      </c>
    </row>
    <row r="295" spans="1:5" s="28" customFormat="1" ht="41.4" x14ac:dyDescent="0.3">
      <c r="A295" s="13" t="s">
        <v>89</v>
      </c>
      <c r="B295" s="14" t="str">
        <f>HYPERLINK("http://apps.fcc.gov/ecfs/document/view?id=7521089317","Rural Healthcare Broadband Experiment Expression of Interest (4 pages)")</f>
        <v>Rural Healthcare Broadband Experiment Expression of Interest (4 pages)</v>
      </c>
      <c r="C295" s="15" t="s">
        <v>859</v>
      </c>
      <c r="D295" s="16" t="s">
        <v>1230</v>
      </c>
      <c r="E295" s="17" t="s">
        <v>928</v>
      </c>
    </row>
    <row r="296" spans="1:5" s="28" customFormat="1" ht="13.8" x14ac:dyDescent="0.3">
      <c r="A296" s="29" t="s">
        <v>762</v>
      </c>
      <c r="B296" s="24" t="str">
        <f>HYPERLINK("http://apps.fcc.gov/ecfs/document/view?id=7521089588","Letter of Interest (2 pages)")</f>
        <v>Letter of Interest (2 pages)</v>
      </c>
      <c r="C296" s="17" t="s">
        <v>854</v>
      </c>
      <c r="D296" s="26" t="s">
        <v>1199</v>
      </c>
      <c r="E296" s="17" t="s">
        <v>928</v>
      </c>
    </row>
    <row r="297" spans="1:5" s="28" customFormat="1" ht="13.8" x14ac:dyDescent="0.3">
      <c r="A297" s="29" t="s">
        <v>761</v>
      </c>
      <c r="B297" s="24" t="str">
        <f>HYPERLINK("http://apps.fcc.gov/ecfs/document/view?id=7521089597","  (2 pages)")</f>
        <v xml:space="preserve">  (2 pages)</v>
      </c>
      <c r="C297" s="17" t="s">
        <v>854</v>
      </c>
      <c r="D297" s="26"/>
      <c r="E297" s="17" t="s">
        <v>1198</v>
      </c>
    </row>
    <row r="298" spans="1:5" s="28" customFormat="1" ht="27.6" x14ac:dyDescent="0.3">
      <c r="A298" s="29" t="s">
        <v>760</v>
      </c>
      <c r="B298" s="24" t="str">
        <f>HYPERLINK("http://apps.fcc.gov/ecfs/document/view?id=7521089692","  (3 pages)")</f>
        <v xml:space="preserve">  (3 pages)</v>
      </c>
      <c r="C298" s="17" t="s">
        <v>855</v>
      </c>
      <c r="D298" s="26" t="s">
        <v>1197</v>
      </c>
      <c r="E298" s="17" t="s">
        <v>939</v>
      </c>
    </row>
    <row r="299" spans="1:5" s="28" customFormat="1" ht="13.8" x14ac:dyDescent="0.3">
      <c r="A299" s="13" t="s">
        <v>522</v>
      </c>
      <c r="B299" s="14" t="str">
        <f>HYPERLINK("http://apps.fcc.gov/ecfs/document/view?id=7521087962","Expression of Interest (4 pages)")</f>
        <v>Expression of Interest (4 pages)</v>
      </c>
      <c r="C299" s="15" t="s">
        <v>859</v>
      </c>
      <c r="D299" s="16"/>
      <c r="E299" s="17" t="s">
        <v>973</v>
      </c>
    </row>
    <row r="300" spans="1:5" s="28" customFormat="1" ht="13.8" x14ac:dyDescent="0.3">
      <c r="A300" s="13" t="s">
        <v>385</v>
      </c>
      <c r="B300" s="14" t="str">
        <f>HYPERLINK("http://apps.fcc.gov/ecfs/document/view?id=7521088696","  (2 pages)")</f>
        <v xml:space="preserve">  (2 pages)</v>
      </c>
      <c r="C300" s="15" t="s">
        <v>854</v>
      </c>
      <c r="D300" s="16"/>
      <c r="E300" s="17" t="s">
        <v>1044</v>
      </c>
    </row>
    <row r="301" spans="1:5" s="28" customFormat="1" ht="13.8" x14ac:dyDescent="0.3">
      <c r="A301" s="13" t="s">
        <v>457</v>
      </c>
      <c r="B301" s="14" t="str">
        <f>HYPERLINK("http://apps.fcc.gov/ecfs/document/view?id=7521088450","  (2 pages)")</f>
        <v xml:space="preserve">  (2 pages)</v>
      </c>
      <c r="C301" s="15" t="s">
        <v>854</v>
      </c>
      <c r="D301" s="16"/>
      <c r="E301" s="17" t="s">
        <v>924</v>
      </c>
    </row>
    <row r="302" spans="1:5" s="28" customFormat="1" ht="27.6" x14ac:dyDescent="0.3">
      <c r="A302" s="13" t="s">
        <v>384</v>
      </c>
      <c r="B302" s="14" t="str">
        <f>HYPERLINK("http://apps.fcc.gov/ecfs/document/view?id=7521088623","  (2 pages)")</f>
        <v xml:space="preserve">  (2 pages)</v>
      </c>
      <c r="C302" s="15" t="s">
        <v>854</v>
      </c>
      <c r="D302" s="16"/>
      <c r="E302" s="17" t="s">
        <v>924</v>
      </c>
    </row>
    <row r="303" spans="1:5" s="28" customFormat="1" ht="13.8" x14ac:dyDescent="0.3">
      <c r="A303" s="13" t="s">
        <v>210</v>
      </c>
      <c r="B303" s="14" t="str">
        <f>HYPERLINK("http://apps.fcc.gov/ecfs/document/view?id=7521089123","Expression of Interest (3 pages)")</f>
        <v>Expression of Interest (3 pages)</v>
      </c>
      <c r="C303" s="15" t="s">
        <v>855</v>
      </c>
      <c r="D303" s="16"/>
      <c r="E303" s="17" t="s">
        <v>926</v>
      </c>
    </row>
    <row r="304" spans="1:5" s="28" customFormat="1" ht="13.8" x14ac:dyDescent="0.3">
      <c r="A304" s="13" t="s">
        <v>209</v>
      </c>
      <c r="B304" s="14" t="str">
        <f>HYPERLINK("http://apps.fcc.gov/ecfs/document/view?id=7521089126","Expression of Interest (2 pages)")</f>
        <v>Expression of Interest (2 pages)</v>
      </c>
      <c r="C304" s="15" t="s">
        <v>854</v>
      </c>
      <c r="D304" s="16"/>
      <c r="E304" s="17" t="s">
        <v>926</v>
      </c>
    </row>
    <row r="305" spans="1:5" s="28" customFormat="1" ht="27.6" x14ac:dyDescent="0.3">
      <c r="A305" s="13" t="s">
        <v>312</v>
      </c>
      <c r="B305" s="14" t="str">
        <f>HYPERLINK("http://apps.fcc.gov/ecfs/document/view?id=7521088980","TruVista Letter of Interest (4 pages)")</f>
        <v>TruVista Letter of Interest (4 pages)</v>
      </c>
      <c r="C305" s="15" t="s">
        <v>859</v>
      </c>
      <c r="D305" s="16"/>
      <c r="E305" s="17" t="s">
        <v>990</v>
      </c>
    </row>
    <row r="306" spans="1:5" s="28" customFormat="1" ht="41.4" x14ac:dyDescent="0.3">
      <c r="A306" s="13" t="s">
        <v>207</v>
      </c>
      <c r="B306" s="14" t="str">
        <f>HYPERLINK("http://apps.fcc.gov/ecfs/document/view?id=7521089059","Queen Anne s County Maryland Expression of Interest in Rural Broadband Trials (2 pages)")</f>
        <v>Queen Anne s County Maryland Expression of Interest in Rural Broadband Trials (2 pages)</v>
      </c>
      <c r="C306" s="15" t="s">
        <v>854</v>
      </c>
      <c r="D306" s="16" t="s">
        <v>1086</v>
      </c>
      <c r="E306" s="41" t="s">
        <v>937</v>
      </c>
    </row>
    <row r="307" spans="1:5" s="28" customFormat="1" ht="13.8" x14ac:dyDescent="0.3">
      <c r="A307" s="13" t="s">
        <v>206</v>
      </c>
      <c r="B307" s="14" t="str">
        <f>HYPERLINK("http://apps.fcc.gov/ecfs/document/view?id=7521089160","Expression of Interest (2 pages)")</f>
        <v>Expression of Interest (2 pages)</v>
      </c>
      <c r="C307" s="15" t="s">
        <v>854</v>
      </c>
      <c r="D307" s="16"/>
      <c r="E307" s="17" t="s">
        <v>970</v>
      </c>
    </row>
    <row r="308" spans="1:5" s="28" customFormat="1" ht="13.8" x14ac:dyDescent="0.3">
      <c r="A308" s="13" t="s">
        <v>505</v>
      </c>
      <c r="B308" s="14" t="str">
        <f>HYPERLINK("http://apps.fcc.gov/ecfs/document/view?id=7521088277","  (6 pages)")</f>
        <v xml:space="preserve">  (6 pages)</v>
      </c>
      <c r="C308" s="15" t="s">
        <v>856</v>
      </c>
      <c r="D308" s="16"/>
      <c r="E308" s="17"/>
    </row>
    <row r="309" spans="1:5" s="28" customFormat="1" ht="13.8" x14ac:dyDescent="0.3">
      <c r="A309" s="13" t="s">
        <v>465</v>
      </c>
      <c r="B309" s="14" t="str">
        <f>HYPERLINK("http://apps.fcc.gov/ecfs/document/view?id=7521088328","Expression of Interest (4 pages)")</f>
        <v>Expression of Interest (4 pages)</v>
      </c>
      <c r="C309" s="15" t="s">
        <v>859</v>
      </c>
      <c r="D309" s="16"/>
      <c r="E309" s="17" t="s">
        <v>964</v>
      </c>
    </row>
    <row r="310" spans="1:5" s="28" customFormat="1" ht="13.8" x14ac:dyDescent="0.3">
      <c r="A310" s="29" t="s">
        <v>759</v>
      </c>
      <c r="B310" s="24" t="str">
        <f>HYPERLINK("http://apps.fcc.gov/ecfs/document/view?id=7521089516","Letter of Interest (2 pages)")</f>
        <v>Letter of Interest (2 pages)</v>
      </c>
      <c r="C310" s="17" t="s">
        <v>854</v>
      </c>
      <c r="D310" s="26"/>
      <c r="E310" s="17" t="s">
        <v>942</v>
      </c>
    </row>
    <row r="311" spans="1:5" s="28" customFormat="1" ht="13.8" x14ac:dyDescent="0.3">
      <c r="A311" s="13" t="s">
        <v>87</v>
      </c>
      <c r="B311" s="14" t="str">
        <f>HYPERLINK("http://apps.fcc.gov/ecfs/document/view?id=7521089426","Letter to expree interest (4 pages)")</f>
        <v>Letter to expree interest (4 pages)</v>
      </c>
      <c r="C311" s="15" t="s">
        <v>859</v>
      </c>
      <c r="D311" s="16"/>
      <c r="E311" s="17" t="s">
        <v>973</v>
      </c>
    </row>
    <row r="312" spans="1:5" s="28" customFormat="1" ht="27.6" x14ac:dyDescent="0.3">
      <c r="A312" s="13" t="s">
        <v>453</v>
      </c>
      <c r="B312" s="14" t="str">
        <f>HYPERLINK("http://apps.fcc.gov/ecfs/document/view?id=7521088394","  (2 pages)")</f>
        <v xml:space="preserve">  (2 pages)</v>
      </c>
      <c r="C312" s="15" t="s">
        <v>854</v>
      </c>
      <c r="D312" s="16"/>
      <c r="E312" s="17" t="s">
        <v>942</v>
      </c>
    </row>
    <row r="313" spans="1:5" s="28" customFormat="1" ht="13.8" x14ac:dyDescent="0.3">
      <c r="A313" s="13" t="s">
        <v>464</v>
      </c>
      <c r="B313" s="14" t="str">
        <f>HYPERLINK("http://apps.fcc.gov/ecfs/document/view?id=7521088333","Expression of Interest (4 pages)")</f>
        <v>Expression of Interest (4 pages)</v>
      </c>
      <c r="C313" s="15" t="s">
        <v>859</v>
      </c>
      <c r="D313" s="16"/>
      <c r="E313" s="17" t="s">
        <v>964</v>
      </c>
    </row>
    <row r="314" spans="1:5" s="28" customFormat="1" ht="13.8" x14ac:dyDescent="0.3">
      <c r="A314" s="13" t="s">
        <v>464</v>
      </c>
      <c r="B314" s="14" t="str">
        <f>HYPERLINK("http://apps.fcc.gov/ecfs/document/view?id=7521088332","Expression of Interest (4 pages)")</f>
        <v>Expression of Interest (4 pages)</v>
      </c>
      <c r="C314" s="15" t="s">
        <v>859</v>
      </c>
      <c r="D314" s="16"/>
      <c r="E314" s="17" t="s">
        <v>964</v>
      </c>
    </row>
    <row r="315" spans="1:5" s="28" customFormat="1" ht="13.8" x14ac:dyDescent="0.3">
      <c r="A315" s="13" t="s">
        <v>464</v>
      </c>
      <c r="B315" s="14" t="str">
        <f>HYPERLINK("http://apps.fcc.gov/ecfs/document/view?id=7521088330","Expression of Interest (4 pages)")</f>
        <v>Expression of Interest (4 pages)</v>
      </c>
      <c r="C315" s="15" t="s">
        <v>859</v>
      </c>
      <c r="D315" s="16"/>
      <c r="E315" s="17" t="s">
        <v>964</v>
      </c>
    </row>
    <row r="316" spans="1:5" s="28" customFormat="1" ht="27.6" x14ac:dyDescent="0.3">
      <c r="A316" s="13" t="s">
        <v>381</v>
      </c>
      <c r="B316" s="14" t="str">
        <f>HYPERLINK("http://apps.fcc.gov/ecfs/document/view?id=7521088764","Expression of Interest Rural Broadband Experiments (3 pages)")</f>
        <v>Expression of Interest Rural Broadband Experiments (3 pages)</v>
      </c>
      <c r="C316" s="15" t="s">
        <v>855</v>
      </c>
      <c r="D316" s="16"/>
      <c r="E316" s="17" t="s">
        <v>1010</v>
      </c>
    </row>
    <row r="317" spans="1:5" s="28" customFormat="1" ht="13.8" x14ac:dyDescent="0.3">
      <c r="A317" s="29" t="s">
        <v>758</v>
      </c>
      <c r="B317" s="24" t="str">
        <f>HYPERLINK("http://apps.fcc.gov/ecfs/document/view?id=7521089740","  (3 pages)")</f>
        <v xml:space="preserve">  (3 pages)</v>
      </c>
      <c r="C317" s="17" t="s">
        <v>855</v>
      </c>
      <c r="D317" s="26"/>
      <c r="E317" s="17" t="s">
        <v>1196</v>
      </c>
    </row>
    <row r="318" spans="1:5" s="28" customFormat="1" ht="13.8" x14ac:dyDescent="0.3">
      <c r="A318" s="13" t="s">
        <v>205</v>
      </c>
      <c r="B318" s="14" t="str">
        <f>HYPERLINK("http://apps.fcc.gov/ecfs/document/view?id=7521089182","  (2 pages)")</f>
        <v xml:space="preserve">  (2 pages)</v>
      </c>
      <c r="C318" s="15" t="s">
        <v>854</v>
      </c>
      <c r="D318" s="16"/>
      <c r="E318" s="17" t="s">
        <v>1020</v>
      </c>
    </row>
    <row r="319" spans="1:5" s="28" customFormat="1" ht="13.8" x14ac:dyDescent="0.3">
      <c r="A319" s="13" t="s">
        <v>86</v>
      </c>
      <c r="B319" s="14" t="str">
        <f>HYPERLINK("http://apps.fcc.gov/ecfs/document/view?id=7521089398","Expression of Interest (3 pages)")</f>
        <v>Expression of Interest (3 pages)</v>
      </c>
      <c r="C319" s="15" t="s">
        <v>855</v>
      </c>
      <c r="D319" s="16"/>
      <c r="E319" s="17" t="s">
        <v>962</v>
      </c>
    </row>
    <row r="320" spans="1:5" s="28" customFormat="1" ht="27.6" x14ac:dyDescent="0.3">
      <c r="A320" s="13" t="s">
        <v>311</v>
      </c>
      <c r="B320" s="14" t="str">
        <f>HYPERLINK("http://apps.fcc.gov/ecfs/document/view?id=7521088769","Fishers Island Tel EOI Rural CAF Experiment (4 pages)")</f>
        <v>Fishers Island Tel EOI Rural CAF Experiment (4 pages)</v>
      </c>
      <c r="C320" s="15" t="s">
        <v>859</v>
      </c>
      <c r="D320" s="16"/>
      <c r="E320" s="17" t="s">
        <v>939</v>
      </c>
    </row>
    <row r="321" spans="1:5" s="28" customFormat="1" ht="13.8" x14ac:dyDescent="0.3">
      <c r="A321" s="28" t="s">
        <v>1100</v>
      </c>
      <c r="B321" s="10" t="str">
        <f>HYPERLINK("http://apps.fcc.gov/ecfs/document/view?id=7521093285","  (4 pages)")</f>
        <v xml:space="preserve">  (4 pages)</v>
      </c>
      <c r="C321" s="17" t="s">
        <v>859</v>
      </c>
      <c r="D321" s="29"/>
      <c r="E321" s="17" t="s">
        <v>1020</v>
      </c>
    </row>
    <row r="322" spans="1:5" s="28" customFormat="1" ht="27.6" x14ac:dyDescent="0.3">
      <c r="A322" s="13" t="s">
        <v>85</v>
      </c>
      <c r="B322" s="14" t="str">
        <f>HYPERLINK("http://apps.fcc.gov/ecfs/document/view?id=7521089451","Rural BBand Experiment Letter of Interest (2 pages)")</f>
        <v>Rural BBand Experiment Letter of Interest (2 pages)</v>
      </c>
      <c r="C322" s="15" t="s">
        <v>854</v>
      </c>
      <c r="D322" s="16"/>
      <c r="E322" s="17" t="s">
        <v>959</v>
      </c>
    </row>
    <row r="323" spans="1:5" s="28" customFormat="1" ht="13.8" x14ac:dyDescent="0.3">
      <c r="A323" s="29" t="s">
        <v>757</v>
      </c>
      <c r="B323" s="24" t="str">
        <f>HYPERLINK("http://apps.fcc.gov/ecfs/document/view?id=7521089548","  (2 pages)")</f>
        <v xml:space="preserve">  (2 pages)</v>
      </c>
      <c r="C323" s="17" t="s">
        <v>854</v>
      </c>
      <c r="D323" s="26"/>
      <c r="E323" s="17" t="s">
        <v>925</v>
      </c>
    </row>
    <row r="324" spans="1:5" s="28" customFormat="1" ht="27.6" x14ac:dyDescent="0.3">
      <c r="A324" s="29" t="s">
        <v>756</v>
      </c>
      <c r="B324" s="24" t="str">
        <f>HYPERLINK("http://apps.fcc.gov/ecfs/document/view?id=7521089538"," (1 page)")</f>
        <v xml:space="preserve"> (1 page)</v>
      </c>
      <c r="C324" s="17" t="s">
        <v>862</v>
      </c>
      <c r="D324" s="26" t="s">
        <v>676</v>
      </c>
      <c r="E324" s="17" t="s">
        <v>924</v>
      </c>
    </row>
    <row r="325" spans="1:5" s="28" customFormat="1" ht="27.6" x14ac:dyDescent="0.3">
      <c r="A325" s="13" t="s">
        <v>88</v>
      </c>
      <c r="B325" s="14" t="str">
        <f>HYPERLINK("http://apps.fcc.gov/ecfs/document/view?id=7521089314","Rural Broadband Experiment Expression of Interest (3 pages)")</f>
        <v>Rural Broadband Experiment Expression of Interest (3 pages)</v>
      </c>
      <c r="C325" s="15" t="s">
        <v>855</v>
      </c>
      <c r="D325" s="16"/>
      <c r="E325" s="17" t="s">
        <v>943</v>
      </c>
    </row>
    <row r="326" spans="1:5" s="28" customFormat="1" ht="27.6" x14ac:dyDescent="0.3">
      <c r="A326" s="29" t="s">
        <v>755</v>
      </c>
      <c r="B326" s="24" t="str">
        <f>HYPERLINK("http://apps.fcc.gov/ecfs/document/view?id=7521089671","Rural BBand Experiment Letter of Interest (2 pages)")</f>
        <v>Rural BBand Experiment Letter of Interest (2 pages)</v>
      </c>
      <c r="C326" s="17" t="s">
        <v>854</v>
      </c>
      <c r="D326" s="26"/>
      <c r="E326" s="17" t="s">
        <v>938</v>
      </c>
    </row>
    <row r="327" spans="1:5" s="28" customFormat="1" ht="41.4" x14ac:dyDescent="0.3">
      <c r="A327" s="29" t="s">
        <v>754</v>
      </c>
      <c r="B327" s="24" t="str">
        <f>HYPERLINK("http://apps.fcc.gov/ecfs/document/view?id=7521089789","WC Docket 10 90 The Sea Ranch Association Expression of Interest (3 pages)")</f>
        <v>WC Docket 10 90 The Sea Ranch Association Expression of Interest (3 pages)</v>
      </c>
      <c r="C327" s="17" t="s">
        <v>855</v>
      </c>
      <c r="D327" s="26"/>
      <c r="E327" s="17" t="s">
        <v>928</v>
      </c>
    </row>
    <row r="328" spans="1:5" s="28" customFormat="1" ht="27.6" x14ac:dyDescent="0.3">
      <c r="A328" s="13" t="s">
        <v>84</v>
      </c>
      <c r="B328" s="14" t="str">
        <f>HYPERLINK("http://apps.fcc.gov/ecfs/document/view?id=7521089357","Rural Broadband Experiment Expression of Interest (13 pages)")</f>
        <v>Rural Broadband Experiment Expression of Interest (13 pages)</v>
      </c>
      <c r="C328" s="15" t="s">
        <v>871</v>
      </c>
      <c r="D328" s="16" t="s">
        <v>1229</v>
      </c>
      <c r="E328" s="17" t="s">
        <v>942</v>
      </c>
    </row>
    <row r="329" spans="1:5" s="28" customFormat="1" ht="27.6" x14ac:dyDescent="0.3">
      <c r="A329" s="13" t="s">
        <v>84</v>
      </c>
      <c r="B329" s="14" t="str">
        <f>HYPERLINK("http://apps.fcc.gov/ecfs/document/view?id=7521089211","Rural Broadband Experiment Expression of Interest (12 pages)")</f>
        <v>Rural Broadband Experiment Expression of Interest (12 pages)</v>
      </c>
      <c r="C329" s="15" t="s">
        <v>874</v>
      </c>
      <c r="D329" s="16" t="s">
        <v>1085</v>
      </c>
      <c r="E329" s="17" t="s">
        <v>942</v>
      </c>
    </row>
    <row r="330" spans="1:5" s="28" customFormat="1" ht="27.6" x14ac:dyDescent="0.3">
      <c r="A330" s="13" t="s">
        <v>84</v>
      </c>
      <c r="B330" s="14" t="str">
        <f>HYPERLINK("http://apps.fcc.gov/ecfs/document/view?id=7521088689","Rural Broadband Experiment Expression of Interest (16 pages)")</f>
        <v>Rural Broadband Experiment Expression of Interest (16 pages)</v>
      </c>
      <c r="C330" s="15" t="s">
        <v>878</v>
      </c>
      <c r="D330" s="16" t="s">
        <v>1080</v>
      </c>
      <c r="E330" s="17" t="s">
        <v>942</v>
      </c>
    </row>
    <row r="331" spans="1:5" s="28" customFormat="1" ht="13.8" x14ac:dyDescent="0.3">
      <c r="A331" s="13" t="s">
        <v>83</v>
      </c>
      <c r="B331" s="14" t="str">
        <f>HYPERLINK("http://apps.fcc.gov/ecfs/document/view?id=7521089458","Letter of Interest (2 pages)")</f>
        <v>Letter of Interest (2 pages)</v>
      </c>
      <c r="C331" s="15" t="s">
        <v>855</v>
      </c>
      <c r="D331" s="16"/>
      <c r="E331" s="17" t="s">
        <v>924</v>
      </c>
    </row>
    <row r="332" spans="1:5" s="28" customFormat="1" ht="27.6" x14ac:dyDescent="0.3">
      <c r="A332" s="13" t="s">
        <v>82</v>
      </c>
      <c r="B332" s="14" t="str">
        <f>HYPERLINK("http://apps.fcc.gov/ecfs/document/view?id=7521089353","Rural BBand Experiment Letter of Interest RoR (2 pages)")</f>
        <v>Rural BBand Experiment Letter of Interest RoR (2 pages)</v>
      </c>
      <c r="C332" s="15" t="s">
        <v>854</v>
      </c>
      <c r="D332" s="16"/>
      <c r="E332" s="17" t="s">
        <v>961</v>
      </c>
    </row>
    <row r="333" spans="1:5" s="28" customFormat="1" ht="13.8" x14ac:dyDescent="0.3">
      <c r="A333" s="13" t="s">
        <v>452</v>
      </c>
      <c r="B333" s="14" t="str">
        <f>HYPERLINK("http://apps.fcc.gov/ecfs/document/view?id=7521088358","Expression of Interest (4 pages)")</f>
        <v>Expression of Interest (4 pages)</v>
      </c>
      <c r="C333" s="15" t="s">
        <v>860</v>
      </c>
      <c r="D333" s="16"/>
      <c r="E333" s="17" t="s">
        <v>939</v>
      </c>
    </row>
    <row r="334" spans="1:5" s="28" customFormat="1" ht="13.8" x14ac:dyDescent="0.3">
      <c r="A334" s="13" t="s">
        <v>553</v>
      </c>
      <c r="B334" s="14" t="str">
        <f>HYPERLINK("http://apps.fcc.gov/ecfs/document/view?id=7521073148","Expression of Interest (4 pages)")</f>
        <v>Expression of Interest (4 pages)</v>
      </c>
      <c r="C334" s="15" t="s">
        <v>859</v>
      </c>
      <c r="D334" s="16"/>
      <c r="E334" s="17" t="s">
        <v>924</v>
      </c>
    </row>
    <row r="335" spans="1:5" s="28" customFormat="1" ht="13.8" x14ac:dyDescent="0.3">
      <c r="A335" s="13" t="s">
        <v>504</v>
      </c>
      <c r="B335" s="14" t="str">
        <f>HYPERLINK("http://apps.fcc.gov/ecfs/document/view?id=7521087832","Cover Letter (2 pages)")</f>
        <v>Cover Letter (2 pages)</v>
      </c>
      <c r="C335" s="15" t="s">
        <v>882</v>
      </c>
      <c r="D335" s="16"/>
      <c r="E335" s="17"/>
    </row>
    <row r="336" spans="1:5" s="28" customFormat="1" ht="13.8" x14ac:dyDescent="0.3">
      <c r="A336" s="13" t="s">
        <v>504</v>
      </c>
      <c r="B336" s="14" t="str">
        <f>HYPERLINK("http://apps.fcc.gov/ecfs/document/view?id=7521087654","  (1 page)")</f>
        <v xml:space="preserve">  (1 page)</v>
      </c>
      <c r="C336" s="15" t="s">
        <v>862</v>
      </c>
      <c r="D336" s="16"/>
      <c r="E336" s="17"/>
    </row>
    <row r="337" spans="1:5" s="28" customFormat="1" ht="13.8" x14ac:dyDescent="0.3">
      <c r="A337" s="13" t="s">
        <v>208</v>
      </c>
      <c r="B337" s="14" t="str">
        <f>HYPERLINK("http://apps.fcc.gov/ecfs/document/view?id=7521089232","Letter (2 pages)")</f>
        <v>Letter (2 pages)</v>
      </c>
      <c r="C337" s="15" t="s">
        <v>854</v>
      </c>
      <c r="D337" s="16"/>
      <c r="E337" s="17" t="s">
        <v>970</v>
      </c>
    </row>
    <row r="338" spans="1:5" s="28" customFormat="1" ht="13.8" x14ac:dyDescent="0.3">
      <c r="A338" s="29" t="s">
        <v>753</v>
      </c>
      <c r="B338" s="24" t="str">
        <f>HYPERLINK("http://apps.fcc.gov/ecfs/document/view?id=7521089801","Expression of Interest (2 pages)")</f>
        <v>Expression of Interest (2 pages)</v>
      </c>
      <c r="C338" s="17" t="s">
        <v>854</v>
      </c>
      <c r="D338" s="26"/>
      <c r="E338" s="17" t="s">
        <v>931</v>
      </c>
    </row>
    <row r="339" spans="1:5" s="28" customFormat="1" ht="13.8" x14ac:dyDescent="0.3">
      <c r="A339" s="29" t="s">
        <v>752</v>
      </c>
      <c r="B339" s="24" t="str">
        <f>HYPERLINK("http://apps.fcc.gov/ecfs/document/view?id=7521089563","  (3 pages)")</f>
        <v xml:space="preserve">  (3 pages)</v>
      </c>
      <c r="C339" s="17" t="s">
        <v>855</v>
      </c>
      <c r="D339" s="26"/>
      <c r="E339" s="17"/>
    </row>
    <row r="340" spans="1:5" s="28" customFormat="1" ht="27.6" x14ac:dyDescent="0.3">
      <c r="A340" s="29" t="s">
        <v>750</v>
      </c>
      <c r="B340" s="24" t="str">
        <f>HYPERLINK("http://apps.fcc.gov/ecfs/document/view?id=7521089705","  (3 pages)")</f>
        <v xml:space="preserve">  (3 pages)</v>
      </c>
      <c r="C340" s="17" t="s">
        <v>855</v>
      </c>
      <c r="D340" s="26"/>
      <c r="E340" s="17" t="s">
        <v>964</v>
      </c>
    </row>
    <row r="341" spans="1:5" s="28" customFormat="1" ht="13.8" x14ac:dyDescent="0.3">
      <c r="A341" s="29" t="s">
        <v>749</v>
      </c>
      <c r="B341" s="24" t="str">
        <f>HYPERLINK("http://apps.fcc.gov/ecfs/document/view?id=7521089744","Expression of Interest (2 pages)")</f>
        <v>Expression of Interest (2 pages)</v>
      </c>
      <c r="C341" s="17" t="s">
        <v>854</v>
      </c>
      <c r="D341" s="26"/>
      <c r="E341" s="17" t="s">
        <v>959</v>
      </c>
    </row>
    <row r="342" spans="1:5" s="28" customFormat="1" ht="27.6" x14ac:dyDescent="0.3">
      <c r="A342" s="13" t="s">
        <v>418</v>
      </c>
      <c r="B342" s="14" t="str">
        <f>HYPERLINK("http://apps.fcc.gov/ecfs/document/view?id=7521088609","EOI for Rural Broadband Experiment (11 pages)")</f>
        <v>EOI for Rural Broadband Experiment (11 pages)</v>
      </c>
      <c r="C342" s="15" t="s">
        <v>876</v>
      </c>
      <c r="D342" s="16"/>
      <c r="E342" s="17" t="s">
        <v>937</v>
      </c>
    </row>
    <row r="343" spans="1:5" s="28" customFormat="1" ht="27.6" x14ac:dyDescent="0.3">
      <c r="A343" s="13" t="s">
        <v>204</v>
      </c>
      <c r="B343" s="14" t="str">
        <f>HYPERLINK("http://apps.fcc.gov/ecfs/document/view?id=7521089222","Expression of Interest (2 pages)")</f>
        <v>Expression of Interest (2 pages)</v>
      </c>
      <c r="C343" s="15" t="s">
        <v>854</v>
      </c>
      <c r="D343" s="16"/>
      <c r="E343" s="17" t="s">
        <v>936</v>
      </c>
    </row>
    <row r="344" spans="1:5" s="28" customFormat="1" ht="27.6" x14ac:dyDescent="0.3">
      <c r="A344" s="29" t="s">
        <v>751</v>
      </c>
      <c r="B344" s="24" t="str">
        <f>HYPERLINK("http://apps.fcc.gov/ecfs/document/view?id=7521089816","Rural Broadband Experiment Expression of Interest Letter (5 pages)")</f>
        <v>Rural Broadband Experiment Expression of Interest Letter (5 pages)</v>
      </c>
      <c r="C344" s="17" t="s">
        <v>857</v>
      </c>
      <c r="D344" s="26"/>
      <c r="E344" s="17" t="s">
        <v>977</v>
      </c>
    </row>
    <row r="345" spans="1:5" s="28" customFormat="1" ht="27.6" x14ac:dyDescent="0.3">
      <c r="A345" s="13" t="s">
        <v>451</v>
      </c>
      <c r="B345" s="14" t="str">
        <f>HYPERLINK("http://apps.fcc.gov/ecfs/document/view?id=7521088589","Expression of Interest Letter Gearheart (2 pages)")</f>
        <v>Expression of Interest Letter Gearheart (2 pages)</v>
      </c>
      <c r="C345" s="15" t="s">
        <v>854</v>
      </c>
      <c r="D345" s="16"/>
      <c r="E345" s="17" t="s">
        <v>938</v>
      </c>
    </row>
    <row r="346" spans="1:5" s="28" customFormat="1" ht="13.8" x14ac:dyDescent="0.3">
      <c r="A346" s="13" t="s">
        <v>503</v>
      </c>
      <c r="B346" s="14" t="str">
        <f>HYPERLINK("http://apps.fcc.gov/ecfs/document/view?id=7521087759","Expression of Interest (4 pages)")</f>
        <v>Expression of Interest (4 pages)</v>
      </c>
      <c r="C346" s="15" t="s">
        <v>859</v>
      </c>
      <c r="D346" s="16"/>
      <c r="E346" s="17" t="s">
        <v>959</v>
      </c>
    </row>
    <row r="347" spans="1:5" s="28" customFormat="1" ht="13.8" x14ac:dyDescent="0.3">
      <c r="A347" s="29" t="s">
        <v>748</v>
      </c>
      <c r="B347" s="24" t="str">
        <f>HYPERLINK("http://apps.fcc.gov/ecfs/document/view?id=7521089776","Letter of Interest (4 pages)")</f>
        <v>Letter of Interest (4 pages)</v>
      </c>
      <c r="C347" s="17" t="s">
        <v>886</v>
      </c>
      <c r="D347" s="26"/>
      <c r="E347" s="17" t="s">
        <v>964</v>
      </c>
    </row>
    <row r="348" spans="1:5" s="28" customFormat="1" ht="27.6" x14ac:dyDescent="0.3">
      <c r="A348" s="13" t="s">
        <v>309</v>
      </c>
      <c r="B348" s="14" t="str">
        <f>HYPERLINK("http://apps.fcc.gov/ecfs/document/view?id=7521088774","Letter of Interest (3 pages)")</f>
        <v>Letter of Interest (3 pages)</v>
      </c>
      <c r="C348" s="15" t="s">
        <v>855</v>
      </c>
      <c r="D348" s="16" t="s">
        <v>986</v>
      </c>
      <c r="E348" s="17" t="s">
        <v>936</v>
      </c>
    </row>
    <row r="349" spans="1:5" s="28" customFormat="1" ht="13.8" x14ac:dyDescent="0.3">
      <c r="A349" s="28" t="s">
        <v>1099</v>
      </c>
      <c r="B349" s="10" t="str">
        <f>HYPERLINK("http://apps.fcc.gov/ecfs/document/view?id=7521093487","  (2 pages)")</f>
        <v xml:space="preserve">  (2 pages)</v>
      </c>
      <c r="C349" s="17" t="s">
        <v>854</v>
      </c>
      <c r="D349" s="29" t="s">
        <v>1190</v>
      </c>
      <c r="E349" s="17" t="s">
        <v>1084</v>
      </c>
    </row>
    <row r="350" spans="1:5" s="28" customFormat="1" ht="27.6" x14ac:dyDescent="0.3">
      <c r="A350" s="13" t="s">
        <v>81</v>
      </c>
      <c r="B350" s="14" t="str">
        <f>HYPERLINK("http://apps.fcc.gov/ecfs/document/view?id=7521089300","Georgia Communications Cooperative EOI (5 pages)")</f>
        <v>Georgia Communications Cooperative EOI (5 pages)</v>
      </c>
      <c r="C350" s="15" t="s">
        <v>866</v>
      </c>
      <c r="D350" s="16"/>
      <c r="E350" s="17" t="s">
        <v>925</v>
      </c>
    </row>
    <row r="351" spans="1:5" s="28" customFormat="1" ht="13.8" x14ac:dyDescent="0.3">
      <c r="A351" s="29" t="s">
        <v>747</v>
      </c>
      <c r="B351" s="24" t="str">
        <f>HYPERLINK("http://apps.fcc.gov/ecfs/document/view?id=7521089481","  (8 pages)")</f>
        <v xml:space="preserve">  (8 pages)</v>
      </c>
      <c r="C351" s="17" t="s">
        <v>873</v>
      </c>
      <c r="D351" s="26"/>
      <c r="E351" s="17" t="s">
        <v>925</v>
      </c>
    </row>
    <row r="352" spans="1:5" s="28" customFormat="1" ht="13.8" x14ac:dyDescent="0.3">
      <c r="A352" s="13" t="s">
        <v>203</v>
      </c>
      <c r="B352" s="14" t="str">
        <f>HYPERLINK("http://apps.fcc.gov/ecfs/document/view?id=7521089127","Expression of Interest (2 pages)")</f>
        <v>Expression of Interest (2 pages)</v>
      </c>
      <c r="C352" s="15" t="s">
        <v>854</v>
      </c>
      <c r="D352" s="16"/>
      <c r="E352" s="17" t="s">
        <v>973</v>
      </c>
    </row>
    <row r="353" spans="1:5" s="28" customFormat="1" ht="27.6" x14ac:dyDescent="0.3">
      <c r="A353" s="29" t="s">
        <v>746</v>
      </c>
      <c r="B353" s="24" t="str">
        <f>HYPERLINK("http://apps.fcc.gov/ecfs/document/view?id=7521089827","UNM Expression of Interest Rural Broadband Trials (4 pages)")</f>
        <v>UNM Expression of Interest Rural Broadband Trials (4 pages)</v>
      </c>
      <c r="C353" s="17" t="s">
        <v>859</v>
      </c>
      <c r="D353" s="26"/>
      <c r="E353" s="17" t="s">
        <v>988</v>
      </c>
    </row>
    <row r="354" spans="1:5" s="28" customFormat="1" ht="13.8" x14ac:dyDescent="0.3">
      <c r="A354" s="13" t="s">
        <v>308</v>
      </c>
      <c r="B354" s="14" t="str">
        <f>HYPERLINK("http://apps.fcc.gov/ecfs/document/view?id=7521088863","  (2 pages)")</f>
        <v xml:space="preserve">  (2 pages)</v>
      </c>
      <c r="C354" s="15" t="s">
        <v>854</v>
      </c>
      <c r="D354" s="16"/>
      <c r="E354" s="17" t="s">
        <v>940</v>
      </c>
    </row>
    <row r="355" spans="1:5" s="28" customFormat="1" ht="13.8" x14ac:dyDescent="0.3">
      <c r="A355" s="13" t="s">
        <v>380</v>
      </c>
      <c r="B355" s="14" t="str">
        <f>HYPERLINK("http://apps.fcc.gov/ecfs/document/view?id=7521088638","Letter of Interest (2 pages)")</f>
        <v>Letter of Interest (2 pages)</v>
      </c>
      <c r="C355" s="15" t="s">
        <v>854</v>
      </c>
      <c r="D355" s="16"/>
      <c r="E355" s="17" t="s">
        <v>1079</v>
      </c>
    </row>
    <row r="356" spans="1:5" s="28" customFormat="1" ht="27.6" x14ac:dyDescent="0.3">
      <c r="A356" s="13" t="s">
        <v>310</v>
      </c>
      <c r="B356" s="14" t="str">
        <f>HYPERLINK("http://apps.fcc.gov/ecfs/document/view?id=7521088965","EOI for Rural Broadband Experiment (2 pages)")</f>
        <v>EOI for Rural Broadband Experiment (2 pages)</v>
      </c>
      <c r="C356" s="15" t="s">
        <v>854</v>
      </c>
      <c r="D356" s="16"/>
      <c r="E356" s="17" t="s">
        <v>933</v>
      </c>
    </row>
    <row r="357" spans="1:5" s="28" customFormat="1" ht="13.8" x14ac:dyDescent="0.3">
      <c r="A357" s="13" t="s">
        <v>450</v>
      </c>
      <c r="B357" s="14" t="str">
        <f>HYPERLINK("http://apps.fcc.gov/ecfs/document/view?id=7521088593","  (2 pages)")</f>
        <v xml:space="preserve">  (2 pages)</v>
      </c>
      <c r="C357" s="15" t="s">
        <v>854</v>
      </c>
      <c r="D357" s="16"/>
      <c r="E357" s="17" t="s">
        <v>1038</v>
      </c>
    </row>
    <row r="358" spans="1:5" s="28" customFormat="1" ht="27.6" x14ac:dyDescent="0.3">
      <c r="A358" s="13" t="s">
        <v>202</v>
      </c>
      <c r="B358" s="14" t="str">
        <f>HYPERLINK("http://apps.fcc.gov/ecfs/document/view?id=7521089184","Rural BBand Experiment Letter of Interest (2 pages)")</f>
        <v>Rural BBand Experiment Letter of Interest (2 pages)</v>
      </c>
      <c r="C358" s="15" t="s">
        <v>854</v>
      </c>
      <c r="D358" s="16"/>
      <c r="E358" s="17" t="s">
        <v>1057</v>
      </c>
    </row>
    <row r="359" spans="1:5" s="28" customFormat="1" ht="27.6" x14ac:dyDescent="0.3">
      <c r="A359" s="29" t="s">
        <v>745</v>
      </c>
      <c r="B359" s="24" t="str">
        <f>HYPERLINK("http://apps.fcc.gov/ecfs/document/view?id=7521089520","Goochland County Expression of Interest (2 pages)")</f>
        <v>Goochland County Expression of Interest (2 pages)</v>
      </c>
      <c r="C359" s="17" t="s">
        <v>888</v>
      </c>
      <c r="D359" s="26"/>
      <c r="E359" s="17" t="s">
        <v>932</v>
      </c>
    </row>
    <row r="360" spans="1:5" s="28" customFormat="1" ht="13.8" x14ac:dyDescent="0.3">
      <c r="A360" s="28" t="s">
        <v>1153</v>
      </c>
      <c r="B360" s="10" t="str">
        <f>HYPERLINK("http://apps.fcc.gov/ecfs/document/view?id=7521094538","Granby Telephone Expression of Interest Letter (2 pages)")</f>
        <v>Granby Telephone Expression of Interest Letter (2 pages)</v>
      </c>
      <c r="C360" s="17" t="s">
        <v>854</v>
      </c>
      <c r="D360" s="29"/>
      <c r="E360" s="17" t="s">
        <v>2</v>
      </c>
    </row>
    <row r="361" spans="1:5" s="28" customFormat="1" ht="27.6" x14ac:dyDescent="0.3">
      <c r="A361" s="29" t="s">
        <v>744</v>
      </c>
      <c r="B361" s="24" t="str">
        <f>HYPERLINK("http://apps.fcc.gov/ecfs/document/view?id=7521089785","Grand River Mutual Telephone Expression of Interest (3 pages)")</f>
        <v>Grand River Mutual Telephone Expression of Interest (3 pages)</v>
      </c>
      <c r="C361" s="17" t="s">
        <v>855</v>
      </c>
      <c r="D361" s="26"/>
      <c r="E361" s="17" t="s">
        <v>1195</v>
      </c>
    </row>
    <row r="362" spans="1:5" s="28" customFormat="1" ht="27.6" x14ac:dyDescent="0.3">
      <c r="A362" s="29" t="s">
        <v>743</v>
      </c>
      <c r="B362" s="24" t="str">
        <f>HYPERLINK("http://apps.fcc.gov/ecfs/document/view?id=7521089741","Grand Telephone Expression of Interest (5 pages)")</f>
        <v>Grand Telephone Expression of Interest (5 pages)</v>
      </c>
      <c r="C362" s="17" t="s">
        <v>857</v>
      </c>
      <c r="D362" s="26"/>
      <c r="E362" s="17" t="s">
        <v>965</v>
      </c>
    </row>
    <row r="363" spans="1:5" s="28" customFormat="1" ht="13.8" x14ac:dyDescent="0.3">
      <c r="A363" s="13" t="s">
        <v>379</v>
      </c>
      <c r="B363" s="14" t="str">
        <f>HYPERLINK("http://apps.fcc.gov/ecfs/document/view?id=7521088755","Expression of Interest (3 pages)")</f>
        <v>Expression of Interest (3 pages)</v>
      </c>
      <c r="C363" s="15" t="s">
        <v>855</v>
      </c>
      <c r="D363" s="16"/>
      <c r="E363" s="17" t="s">
        <v>978</v>
      </c>
    </row>
    <row r="364" spans="1:5" s="28" customFormat="1" ht="41.4" x14ac:dyDescent="0.3">
      <c r="A364" s="29" t="s">
        <v>742</v>
      </c>
      <c r="B364" s="24" t="str">
        <f>HYPERLINK("http://apps.fcc.gov/ecfs/document/view?id=7521089609","Great Lakes Communication Corp Expression of Interest 3 6 2014 WC Docket No 10 (2 pages)")</f>
        <v>Great Lakes Communication Corp Expression of Interest 3 6 2014 WC Docket No 10 (2 pages)</v>
      </c>
      <c r="C364" s="17" t="s">
        <v>854</v>
      </c>
      <c r="D364" s="26"/>
      <c r="E364" s="17" t="s">
        <v>1175</v>
      </c>
    </row>
    <row r="365" spans="1:5" s="28" customFormat="1" ht="13.8" x14ac:dyDescent="0.3">
      <c r="A365" s="13" t="s">
        <v>378</v>
      </c>
      <c r="B365" s="14" t="str">
        <f>HYPERLINK("http://apps.fcc.gov/ecfs/document/view?id=7521088397","Expression of Interest (3 pages)")</f>
        <v>Expression of Interest (3 pages)</v>
      </c>
      <c r="C365" s="15" t="s">
        <v>855</v>
      </c>
      <c r="D365" s="16"/>
      <c r="E365" s="17" t="s">
        <v>943</v>
      </c>
    </row>
    <row r="366" spans="1:5" s="28" customFormat="1" ht="13.8" x14ac:dyDescent="0.3">
      <c r="A366" s="13" t="s">
        <v>80</v>
      </c>
      <c r="B366" s="14" t="str">
        <f>HYPERLINK("http://apps.fcc.gov/ecfs/document/view?id=7521089245","  (6 pages)")</f>
        <v xml:space="preserve">  (6 pages)</v>
      </c>
      <c r="C366" s="15">
        <v>6</v>
      </c>
      <c r="D366" s="16"/>
      <c r="E366" s="17" t="s">
        <v>1178</v>
      </c>
    </row>
    <row r="367" spans="1:5" s="28" customFormat="1" ht="13.8" x14ac:dyDescent="0.3">
      <c r="A367" s="29" t="s">
        <v>903</v>
      </c>
      <c r="B367" s="24" t="str">
        <f>HYPERLINK("http://apps.fcc.gov/ecfs/document/view?id=7521090560","  (3 pages)")</f>
        <v xml:space="preserve">  (3 pages)</v>
      </c>
      <c r="C367" s="30" t="s">
        <v>855</v>
      </c>
      <c r="D367" s="26" t="s">
        <v>1161</v>
      </c>
      <c r="E367" s="17" t="s">
        <v>928</v>
      </c>
    </row>
    <row r="368" spans="1:5" s="28" customFormat="1" ht="27.6" x14ac:dyDescent="0.3">
      <c r="A368" s="13" t="s">
        <v>502</v>
      </c>
      <c r="B368" s="14" t="str">
        <f>HYPERLINK("http://apps.fcc.gov/ecfs/document/view?id=7521088272","Broadband Experiment Letter of Interest (2 pages)")</f>
        <v>Broadband Experiment Letter of Interest (2 pages)</v>
      </c>
      <c r="C368" s="15" t="s">
        <v>854</v>
      </c>
      <c r="D368" s="16"/>
      <c r="E368" s="17" t="s">
        <v>2</v>
      </c>
    </row>
    <row r="369" spans="1:5" s="28" customFormat="1" ht="13.8" x14ac:dyDescent="0.3">
      <c r="A369" s="29" t="s">
        <v>741</v>
      </c>
      <c r="B369" s="24" t="str">
        <f>HYPERLINK("http://apps.fcc.gov/ecfs/document/view?id=7521089504","  (8 pages)")</f>
        <v xml:space="preserve">  (8 pages)</v>
      </c>
      <c r="C369" s="17" t="s">
        <v>873</v>
      </c>
      <c r="D369" s="26"/>
      <c r="E369" s="17" t="s">
        <v>967</v>
      </c>
    </row>
    <row r="370" spans="1:5" s="28" customFormat="1" ht="27.6" x14ac:dyDescent="0.3">
      <c r="A370" s="13" t="s">
        <v>79</v>
      </c>
      <c r="B370" s="14" t="str">
        <f>HYPERLINK("http://apps.fcc.gov/ecfs/document/view?id=7521089462","Home Telecom Expression of Interest (4 pages)")</f>
        <v>Home Telecom Expression of Interest (4 pages)</v>
      </c>
      <c r="C370" s="15" t="s">
        <v>859</v>
      </c>
      <c r="D370" s="16" t="s">
        <v>1177</v>
      </c>
      <c r="E370" s="17" t="s">
        <v>970</v>
      </c>
    </row>
    <row r="371" spans="1:5" s="28" customFormat="1" ht="13.8" x14ac:dyDescent="0.3">
      <c r="A371" s="29" t="s">
        <v>740</v>
      </c>
      <c r="B371" s="24" t="str">
        <f>HYPERLINK("http://apps.fcc.gov/ecfs/document/view?id=7521089611","EOI for Habersham EMC (5 pages)")</f>
        <v>EOI for Habersham EMC (5 pages)</v>
      </c>
      <c r="C371" s="17" t="s">
        <v>887</v>
      </c>
      <c r="D371" s="26"/>
      <c r="E371" s="17" t="s">
        <v>925</v>
      </c>
    </row>
    <row r="372" spans="1:5" s="28" customFormat="1" ht="13.8" x14ac:dyDescent="0.3">
      <c r="A372" s="13" t="s">
        <v>448</v>
      </c>
      <c r="B372" s="14" t="str">
        <f>HYPERLINK("http://apps.fcc.gov/ecfs/document/view?id=7521088398","Broadband Experiment EOI (3 pages)")</f>
        <v>Broadband Experiment EOI (3 pages)</v>
      </c>
      <c r="C372" s="15" t="s">
        <v>855</v>
      </c>
      <c r="D372" s="16"/>
      <c r="E372" s="17" t="s">
        <v>964</v>
      </c>
    </row>
    <row r="373" spans="1:5" s="28" customFormat="1" ht="13.8" x14ac:dyDescent="0.3">
      <c r="A373" s="13" t="s">
        <v>448</v>
      </c>
      <c r="B373" s="14" t="str">
        <f>HYPERLINK("http://apps.fcc.gov/ecfs/document/view?id=7521088160"," (1 page)")</f>
        <v xml:space="preserve"> (1 page)</v>
      </c>
      <c r="C373" s="15" t="s">
        <v>862</v>
      </c>
      <c r="D373" s="16"/>
      <c r="E373" s="17" t="s">
        <v>964</v>
      </c>
    </row>
    <row r="374" spans="1:5" s="28" customFormat="1" ht="13.8" x14ac:dyDescent="0.3">
      <c r="A374" s="28" t="s">
        <v>1150</v>
      </c>
      <c r="B374" s="10" t="str">
        <f>HYPERLINK("http://apps.fcc.gov/ecfs/document/view?id=7521094123","Expression of Interest Letter (1 page)")</f>
        <v>Expression of Interest Letter (1 page)</v>
      </c>
      <c r="C374" s="17" t="s">
        <v>862</v>
      </c>
      <c r="D374" s="29"/>
      <c r="E374" s="17" t="s">
        <v>940</v>
      </c>
    </row>
    <row r="375" spans="1:5" s="28" customFormat="1" ht="13.8" x14ac:dyDescent="0.3">
      <c r="A375" s="13" t="s">
        <v>78</v>
      </c>
      <c r="B375" s="14" t="str">
        <f>HYPERLINK("http://apps.fcc.gov/ecfs/document/view?id=7521089428","  (3 pages)")</f>
        <v xml:space="preserve">  (3 pages)</v>
      </c>
      <c r="C375" s="15" t="s">
        <v>855</v>
      </c>
      <c r="D375" s="16"/>
      <c r="E375" s="17" t="s">
        <v>935</v>
      </c>
    </row>
    <row r="376" spans="1:5" s="28" customFormat="1" ht="13.8" x14ac:dyDescent="0.3">
      <c r="A376" s="13" t="s">
        <v>77</v>
      </c>
      <c r="B376" s="14" t="str">
        <f>HYPERLINK("http://apps.fcc.gov/ecfs/document/view?id=7521089468","  (1 page)")</f>
        <v xml:space="preserve">  (1 page)</v>
      </c>
      <c r="C376" s="15" t="s">
        <v>862</v>
      </c>
      <c r="D376" s="16"/>
      <c r="E376" s="17"/>
    </row>
    <row r="377" spans="1:5" s="28" customFormat="1" ht="27.6" x14ac:dyDescent="0.3">
      <c r="A377" s="13" t="s">
        <v>447</v>
      </c>
      <c r="B377" s="14" t="str">
        <f>HYPERLINK("http://apps.fcc.gov/ecfs/document/view?id=7521088585","  (2 pages)")</f>
        <v xml:space="preserve">  (2 pages)</v>
      </c>
      <c r="C377" s="15" t="s">
        <v>854</v>
      </c>
      <c r="D377" s="16"/>
      <c r="E377" s="17" t="s">
        <v>931</v>
      </c>
    </row>
    <row r="378" spans="1:5" s="28" customFormat="1" ht="27.6" x14ac:dyDescent="0.3">
      <c r="A378" s="13" t="s">
        <v>201</v>
      </c>
      <c r="B378" s="14" t="str">
        <f>HYPERLINK("http://apps.fcc.gov/ecfs/document/view?id=7521089015","Expression of Interest _FCC Rural Broadband Experiments (4 pages)")</f>
        <v>Expression of Interest _FCC Rural Broadband Experiments (4 pages)</v>
      </c>
      <c r="C378" s="15" t="s">
        <v>856</v>
      </c>
      <c r="D378" s="16"/>
      <c r="E378" s="17" t="s">
        <v>943</v>
      </c>
    </row>
    <row r="379" spans="1:5" s="28" customFormat="1" ht="13.8" x14ac:dyDescent="0.3">
      <c r="A379" s="13" t="s">
        <v>76</v>
      </c>
      <c r="B379" s="14" t="str">
        <f>HYPERLINK("http://apps.fcc.gov/ecfs/document/view?id=7521089422","  (3 pages)")</f>
        <v xml:space="preserve">  (3 pages)</v>
      </c>
      <c r="C379" s="15" t="s">
        <v>855</v>
      </c>
      <c r="D379" s="16"/>
      <c r="E379" s="17" t="s">
        <v>938</v>
      </c>
    </row>
    <row r="380" spans="1:5" s="28" customFormat="1" ht="13.8" x14ac:dyDescent="0.3">
      <c r="A380" s="29" t="s">
        <v>739</v>
      </c>
      <c r="B380" s="24" t="str">
        <f>HYPERLINK("http://apps.fcc.gov/ecfs/document/view?id=7521089572","Expression of Interest (9 pages)")</f>
        <v>Expression of Interest (9 pages)</v>
      </c>
      <c r="C380" s="17" t="s">
        <v>867</v>
      </c>
      <c r="D380" s="26"/>
      <c r="E380" s="17" t="s">
        <v>926</v>
      </c>
    </row>
    <row r="381" spans="1:5" s="28" customFormat="1" ht="13.8" x14ac:dyDescent="0.3">
      <c r="A381" s="29" t="s">
        <v>1017</v>
      </c>
      <c r="B381" s="24" t="str">
        <f>HYPERLINK("http://apps.fcc.gov/ecfs/document/view?id=7521092072","  (2 pages)")</f>
        <v xml:space="preserve">  (2 pages)</v>
      </c>
      <c r="C381" s="30" t="s">
        <v>854</v>
      </c>
      <c r="D381" s="29"/>
      <c r="E381" s="17" t="s">
        <v>931</v>
      </c>
    </row>
    <row r="382" spans="1:5" s="28" customFormat="1" ht="41.4" x14ac:dyDescent="0.3">
      <c r="A382" s="13" t="s">
        <v>200</v>
      </c>
      <c r="B382" s="14" t="str">
        <f>HYPERLINK("http://apps.fcc.gov/ecfs/document/view?id=7521089077","Expression of Internet Letter WC Docket 10 90 Connect America Fund for Heart (3 pages)")</f>
        <v>Expression of Internet Letter WC Docket 10 90 Connect America Fund for Heart (3 pages)</v>
      </c>
      <c r="C382" s="15" t="s">
        <v>855</v>
      </c>
      <c r="D382" s="16"/>
      <c r="E382" s="17" t="s">
        <v>935</v>
      </c>
    </row>
    <row r="383" spans="1:5" s="28" customFormat="1" ht="27.6" x14ac:dyDescent="0.3">
      <c r="A383" s="13" t="s">
        <v>307</v>
      </c>
      <c r="B383" s="14" t="str">
        <f>HYPERLINK("http://apps.fcc.gov/ecfs/document/view?id=7521088818","  (1 page)")</f>
        <v xml:space="preserve">  (1 page)</v>
      </c>
      <c r="C383" s="15" t="s">
        <v>862</v>
      </c>
      <c r="D383" s="16" t="s">
        <v>985</v>
      </c>
      <c r="E383" s="17" t="s">
        <v>935</v>
      </c>
    </row>
    <row r="384" spans="1:5" s="28" customFormat="1" ht="13.8" x14ac:dyDescent="0.3">
      <c r="A384" s="13" t="s">
        <v>306</v>
      </c>
      <c r="B384" s="14" t="str">
        <f>HYPERLINK("http://apps.fcc.gov/ecfs/document/view?id=7521088785","  (5 pages)")</f>
        <v xml:space="preserve">  (5 pages)</v>
      </c>
      <c r="C384" s="15" t="s">
        <v>857</v>
      </c>
      <c r="D384" s="16" t="s">
        <v>984</v>
      </c>
      <c r="E384" s="17" t="s">
        <v>930</v>
      </c>
    </row>
    <row r="385" spans="1:5" s="28" customFormat="1" ht="13.8" x14ac:dyDescent="0.3">
      <c r="A385" s="29" t="s">
        <v>738</v>
      </c>
      <c r="B385" s="24" t="str">
        <f>HYPERLINK("http://apps.fcc.gov/ecfs/document/view?id=7521089023","Expression of Interest (3 pages)")</f>
        <v>Expression of Interest (3 pages)</v>
      </c>
      <c r="C385" s="17" t="s">
        <v>855</v>
      </c>
      <c r="D385" s="26"/>
      <c r="E385" s="17" t="s">
        <v>931</v>
      </c>
    </row>
    <row r="386" spans="1:5" s="28" customFormat="1" ht="13.8" x14ac:dyDescent="0.3">
      <c r="A386" s="13" t="s">
        <v>199</v>
      </c>
      <c r="B386" s="14" t="str">
        <f>HYPERLINK("http://apps.fcc.gov/ecfs/document/view?id=7521089231","Expression of Interest (3 pages)")</f>
        <v>Expression of Interest (3 pages)</v>
      </c>
      <c r="C386" s="15" t="s">
        <v>855</v>
      </c>
      <c r="D386" s="16"/>
      <c r="E386" s="17" t="s">
        <v>931</v>
      </c>
    </row>
    <row r="387" spans="1:5" s="28" customFormat="1" ht="13.8" x14ac:dyDescent="0.3">
      <c r="A387" s="29" t="s">
        <v>737</v>
      </c>
      <c r="B387" s="24" t="str">
        <f>HYPERLINK("http://apps.fcc.gov/ecfs/document/view?id=7521089645","  (4 pages)")</f>
        <v xml:space="preserve">  (4 pages)</v>
      </c>
      <c r="C387" s="17" t="s">
        <v>859</v>
      </c>
      <c r="D387" s="26"/>
      <c r="E387" s="17" t="s">
        <v>943</v>
      </c>
    </row>
    <row r="388" spans="1:5" s="28" customFormat="1" ht="13.8" x14ac:dyDescent="0.3">
      <c r="A388" s="29" t="s">
        <v>737</v>
      </c>
      <c r="B388" s="24" t="str">
        <f>HYPERLINK("http://apps.fcc.gov/ecfs/document/view?id=7521090022","  (4 pages)")</f>
        <v xml:space="preserve">  (4 pages)</v>
      </c>
      <c r="C388" s="30" t="s">
        <v>859</v>
      </c>
      <c r="D388" s="26"/>
      <c r="E388" s="17" t="s">
        <v>943</v>
      </c>
    </row>
    <row r="389" spans="1:5" s="28" customFormat="1" ht="27.6" x14ac:dyDescent="0.3">
      <c r="A389" s="13" t="s">
        <v>377</v>
      </c>
      <c r="B389" s="14" t="str">
        <f>HYPERLINK("http://apps.fcc.gov/ecfs/document/view?id=7521088615","  (7 pages)")</f>
        <v xml:space="preserve">  (7 pages)</v>
      </c>
      <c r="C389" s="15" t="s">
        <v>876</v>
      </c>
      <c r="D389" s="16"/>
      <c r="E389" s="17" t="s">
        <v>938</v>
      </c>
    </row>
    <row r="390" spans="1:5" s="28" customFormat="1" ht="13.8" x14ac:dyDescent="0.3">
      <c r="A390" s="13" t="s">
        <v>446</v>
      </c>
      <c r="B390" s="14" t="str">
        <f>HYPERLINK("http://apps.fcc.gov/ecfs/document/view?id=7521088562","  (5 pages)")</f>
        <v xml:space="preserve">  (5 pages)</v>
      </c>
      <c r="C390" s="15" t="s">
        <v>857</v>
      </c>
      <c r="D390" s="16"/>
      <c r="E390" s="17" t="s">
        <v>943</v>
      </c>
    </row>
    <row r="391" spans="1:5" s="28" customFormat="1" ht="27.6" x14ac:dyDescent="0.3">
      <c r="A391" s="13" t="s">
        <v>501</v>
      </c>
      <c r="B391" s="14" t="str">
        <f>HYPERLINK("http://apps.fcc.gov/ecfs/document/view?id=7521088061","Letter of Interest Connect America Fund WC Docket 10 90 (5 pages)")</f>
        <v>Letter of Interest Connect America Fund WC Docket 10 90 (5 pages)</v>
      </c>
      <c r="C391" s="15" t="s">
        <v>857</v>
      </c>
      <c r="D391" s="16"/>
      <c r="E391" s="17" t="s">
        <v>932</v>
      </c>
    </row>
    <row r="392" spans="1:5" s="28" customFormat="1" ht="13.8" x14ac:dyDescent="0.3">
      <c r="A392" s="13" t="s">
        <v>540</v>
      </c>
      <c r="B392" s="14" t="str">
        <f>HYPERLINK("http://apps.fcc.gov/ecfs/document/view?id=7521081767","Expression of Interest (3 pages)")</f>
        <v>Expression of Interest (3 pages)</v>
      </c>
      <c r="C392" s="15" t="s">
        <v>855</v>
      </c>
      <c r="D392" s="16"/>
      <c r="E392" s="17" t="s">
        <v>926</v>
      </c>
    </row>
    <row r="393" spans="1:5" s="28" customFormat="1" ht="13.8" x14ac:dyDescent="0.3">
      <c r="A393" s="13" t="s">
        <v>305</v>
      </c>
      <c r="B393" s="14" t="str">
        <f>HYPERLINK("http://apps.fcc.gov/ecfs/document/view?id=7521088877","Expression of Interest (6 pages)")</f>
        <v>Expression of Interest (6 pages)</v>
      </c>
      <c r="C393" s="15" t="s">
        <v>856</v>
      </c>
      <c r="D393" s="16"/>
      <c r="E393" s="17" t="s">
        <v>933</v>
      </c>
    </row>
    <row r="394" spans="1:5" s="28" customFormat="1" ht="13.8" x14ac:dyDescent="0.3">
      <c r="A394" s="13" t="s">
        <v>376</v>
      </c>
      <c r="B394" s="14" t="str">
        <f>HYPERLINK("http://apps.fcc.gov/ecfs/document/view?id=7521088719","Expression of Interest (9 pages)")</f>
        <v>Expression of Interest (9 pages)</v>
      </c>
      <c r="C394" s="15" t="s">
        <v>860</v>
      </c>
      <c r="D394" s="16"/>
      <c r="E394" s="17" t="s">
        <v>943</v>
      </c>
    </row>
    <row r="395" spans="1:5" s="28" customFormat="1" ht="13.8" x14ac:dyDescent="0.3">
      <c r="A395" s="28" t="s">
        <v>1098</v>
      </c>
      <c r="B395" s="10" t="str">
        <f>HYPERLINK("http://apps.fcc.gov/ecfs/document/view?id=7521092486","Letter of Interest RoR (2 pages)")</f>
        <v>Letter of Interest RoR (2 pages)</v>
      </c>
      <c r="C395" s="17" t="s">
        <v>854</v>
      </c>
      <c r="D395" s="29"/>
      <c r="E395" s="17" t="s">
        <v>1010</v>
      </c>
    </row>
    <row r="396" spans="1:5" s="28" customFormat="1" ht="13.8" x14ac:dyDescent="0.3">
      <c r="A396" s="28" t="s">
        <v>1097</v>
      </c>
      <c r="B396" s="10" t="str">
        <f>HYPERLINK("http://apps.fcc.gov/ecfs/document/view?id=7521092482","Letter of Interest (2 pages)")</f>
        <v>Letter of Interest (2 pages)</v>
      </c>
      <c r="C396" s="17" t="s">
        <v>854</v>
      </c>
      <c r="D396" s="29"/>
      <c r="E396" s="17" t="s">
        <v>1010</v>
      </c>
    </row>
    <row r="397" spans="1:5" s="28" customFormat="1" ht="13.8" x14ac:dyDescent="0.3">
      <c r="A397" s="13" t="s">
        <v>198</v>
      </c>
      <c r="B397" s="14" t="str">
        <f>HYPERLINK("http://apps.fcc.gov/ecfs/document/view?id=7521089159","  (2 pages)")</f>
        <v xml:space="preserve">  (2 pages)</v>
      </c>
      <c r="C397" s="15" t="s">
        <v>854</v>
      </c>
      <c r="D397" s="16"/>
      <c r="E397" s="17" t="s">
        <v>968</v>
      </c>
    </row>
    <row r="398" spans="1:5" s="28" customFormat="1" ht="13.8" x14ac:dyDescent="0.3">
      <c r="A398" s="29" t="s">
        <v>1013</v>
      </c>
      <c r="B398" s="24" t="str">
        <f>HYPERLINK("http://apps.fcc.gov/ecfs/document/view?id=7521092253","  (2 pages)")</f>
        <v xml:space="preserve">  (2 pages)</v>
      </c>
      <c r="C398" s="30" t="s">
        <v>854</v>
      </c>
      <c r="D398" s="26"/>
      <c r="E398" s="17" t="s">
        <v>928</v>
      </c>
    </row>
    <row r="399" spans="1:5" s="28" customFormat="1" ht="13.8" x14ac:dyDescent="0.3">
      <c r="A399" s="29" t="s">
        <v>736</v>
      </c>
      <c r="B399" s="24" t="str">
        <f>HYPERLINK("http://apps.fcc.gov/ecfs/document/view?id=7521089233","Horizon Telcom Inc EOI (7 pages)")</f>
        <v>Horizon Telcom Inc EOI (7 pages)</v>
      </c>
      <c r="C399" s="17" t="s">
        <v>865</v>
      </c>
      <c r="D399" s="26"/>
      <c r="E399" s="17" t="s">
        <v>933</v>
      </c>
    </row>
    <row r="400" spans="1:5" s="28" customFormat="1" ht="13.8" x14ac:dyDescent="0.3">
      <c r="A400" s="29" t="s">
        <v>735</v>
      </c>
      <c r="B400" s="24" t="str">
        <f>HYPERLINK("http://apps.fcc.gov/ecfs/document/view?id=7521089633","Letter (4 pages)")</f>
        <v>Letter (4 pages)</v>
      </c>
      <c r="C400" s="17" t="s">
        <v>859</v>
      </c>
      <c r="D400" s="26"/>
      <c r="E400" s="17" t="s">
        <v>970</v>
      </c>
    </row>
    <row r="401" spans="1:5" s="28" customFormat="1" ht="13.8" x14ac:dyDescent="0.3">
      <c r="A401" s="29" t="s">
        <v>734</v>
      </c>
      <c r="B401" s="24" t="str">
        <f>HYPERLINK("http://apps.fcc.gov/ecfs/document/view?id=7521089733","Expression of Interest letter (3 pages)")</f>
        <v>Expression of Interest letter (3 pages)</v>
      </c>
      <c r="C401" s="17" t="s">
        <v>855</v>
      </c>
      <c r="D401" s="26"/>
      <c r="E401" s="17" t="s">
        <v>989</v>
      </c>
    </row>
    <row r="402" spans="1:5" s="28" customFormat="1" ht="13.8" x14ac:dyDescent="0.3">
      <c r="A402" s="13" t="s">
        <v>449</v>
      </c>
      <c r="B402" s="14" t="str">
        <f>HYPERLINK("http://apps.fcc.gov/ecfs/document/view?id=7521088462","  (4 pages)")</f>
        <v xml:space="preserve">  (4 pages)</v>
      </c>
      <c r="C402" s="15" t="s">
        <v>859</v>
      </c>
      <c r="D402" s="16"/>
      <c r="E402" s="17" t="s">
        <v>1037</v>
      </c>
    </row>
    <row r="403" spans="1:5" s="28" customFormat="1" ht="27.6" x14ac:dyDescent="0.3">
      <c r="A403" s="29" t="s">
        <v>733</v>
      </c>
      <c r="B403" s="24" t="str">
        <f>HYPERLINK("http://apps.fcc.gov/ecfs/document/view?id=7521089615","Rural Broadband Experiment of Interest (1 page)")</f>
        <v>Rural Broadband Experiment of Interest (1 page)</v>
      </c>
      <c r="C403" s="17" t="s">
        <v>862</v>
      </c>
      <c r="D403" s="26"/>
      <c r="E403" s="17" t="s">
        <v>942</v>
      </c>
    </row>
    <row r="404" spans="1:5" s="28" customFormat="1" ht="13.8" x14ac:dyDescent="0.3">
      <c r="A404" s="13" t="s">
        <v>197</v>
      </c>
      <c r="B404" s="14" t="str">
        <f>HYPERLINK("http://apps.fcc.gov/ecfs/document/view?id=7521089236","  (4 pages)")</f>
        <v xml:space="preserve">  (4 pages)</v>
      </c>
      <c r="C404" s="15" t="s">
        <v>859</v>
      </c>
      <c r="D404" s="16"/>
      <c r="E404" s="17" t="s">
        <v>935</v>
      </c>
    </row>
    <row r="405" spans="1:5" s="28" customFormat="1" ht="13.8" x14ac:dyDescent="0.3">
      <c r="A405" s="13" t="s">
        <v>195</v>
      </c>
      <c r="B405" s="14" t="str">
        <f>HYPERLINK("http://apps.fcc.gov/ecfs/document/view?id=7521089055","  (8 pages)")</f>
        <v xml:space="preserve">  (8 pages)</v>
      </c>
      <c r="C405" s="15" t="s">
        <v>873</v>
      </c>
      <c r="D405" s="16"/>
      <c r="E405" s="17" t="s">
        <v>1058</v>
      </c>
    </row>
    <row r="406" spans="1:5" s="28" customFormat="1" ht="13.8" x14ac:dyDescent="0.3">
      <c r="A406" s="13" t="s">
        <v>196</v>
      </c>
      <c r="B406" s="14" t="str">
        <f>HYPERLINK("http://apps.fcc.gov/ecfs/document/view?id=7521089132","  (2 pages)")</f>
        <v xml:space="preserve">  (2 pages)</v>
      </c>
      <c r="C406" s="15" t="s">
        <v>854</v>
      </c>
      <c r="D406" s="16"/>
      <c r="E406" s="17" t="s">
        <v>2</v>
      </c>
    </row>
    <row r="407" spans="1:5" s="28" customFormat="1" ht="27.6" x14ac:dyDescent="0.3">
      <c r="A407" s="13" t="s">
        <v>194</v>
      </c>
      <c r="B407" s="14" t="str">
        <f>HYPERLINK("http://apps.fcc.gov/ecfs/document/view?id=7521089082","  (6 pages)")</f>
        <v xml:space="preserve">  (6 pages)</v>
      </c>
      <c r="C407" s="15" t="s">
        <v>856</v>
      </c>
      <c r="D407" s="16"/>
      <c r="E407" s="17" t="s">
        <v>959</v>
      </c>
    </row>
    <row r="408" spans="1:5" s="28" customFormat="1" ht="13.8" x14ac:dyDescent="0.3">
      <c r="A408" s="13" t="s">
        <v>463</v>
      </c>
      <c r="B408" s="14" t="str">
        <f>HYPERLINK("http://apps.fcc.gov/ecfs/document/view?id=7521088338","Expression of Interest (8 pages)")</f>
        <v>Expression of Interest (8 pages)</v>
      </c>
      <c r="C408" s="15" t="s">
        <v>873</v>
      </c>
      <c r="D408" s="16"/>
      <c r="E408" s="17" t="s">
        <v>1037</v>
      </c>
    </row>
    <row r="409" spans="1:5" s="28" customFormat="1" ht="13.8" x14ac:dyDescent="0.3">
      <c r="A409" s="13" t="s">
        <v>75</v>
      </c>
      <c r="B409" s="14" t="str">
        <f>HYPERLINK("http://apps.fcc.gov/ecfs/document/view?id=7521089349","Expression of Interest (1 page)")</f>
        <v>Expression of Interest (1 page)</v>
      </c>
      <c r="C409" s="15" t="s">
        <v>862</v>
      </c>
      <c r="D409" s="16"/>
      <c r="E409" s="17" t="s">
        <v>959</v>
      </c>
    </row>
    <row r="410" spans="1:5" s="28" customFormat="1" ht="13.8" x14ac:dyDescent="0.3">
      <c r="A410" s="13" t="s">
        <v>304</v>
      </c>
      <c r="B410" s="14" t="str">
        <f>HYPERLINK("http://apps.fcc.gov/ecfs/document/view?id=7521088796","  (8 pages)")</f>
        <v xml:space="preserve">  (8 pages)</v>
      </c>
      <c r="C410" s="15" t="s">
        <v>873</v>
      </c>
      <c r="D410" s="16"/>
      <c r="E410" s="17" t="s">
        <v>935</v>
      </c>
    </row>
    <row r="411" spans="1:5" s="28" customFormat="1" ht="27.6" x14ac:dyDescent="0.3">
      <c r="A411" s="13" t="s">
        <v>74</v>
      </c>
      <c r="B411" s="14" t="str">
        <f>HYPERLINK("http://apps.fcc.gov/ecfs/document/view?id=7521089412","Expression of Interest State Support (2 pages)")</f>
        <v>Expression of Interest State Support (2 pages)</v>
      </c>
      <c r="C411" s="15" t="s">
        <v>854</v>
      </c>
      <c r="D411" s="16"/>
      <c r="E411" s="17" t="s">
        <v>931</v>
      </c>
    </row>
    <row r="412" spans="1:5" s="28" customFormat="1" ht="13.8" x14ac:dyDescent="0.3">
      <c r="A412" s="29" t="s">
        <v>731</v>
      </c>
      <c r="B412" s="24" t="str">
        <f>HYPERLINK("http://apps.fcc.gov/ecfs/document/view?id=7521089887","  (6 pages)")</f>
        <v xml:space="preserve">  (6 pages)</v>
      </c>
      <c r="C412" s="17" t="s">
        <v>856</v>
      </c>
      <c r="D412" s="26"/>
      <c r="E412" s="17" t="s">
        <v>964</v>
      </c>
    </row>
    <row r="413" spans="1:5" s="28" customFormat="1" ht="13.8" x14ac:dyDescent="0.3">
      <c r="A413" s="13" t="s">
        <v>303</v>
      </c>
      <c r="B413" s="14" t="str">
        <f>HYPERLINK("http://apps.fcc.gov/ecfs/document/view?id=7521088868","  (1 page)")</f>
        <v xml:space="preserve">  (1 page)</v>
      </c>
      <c r="C413" s="15" t="s">
        <v>856</v>
      </c>
      <c r="D413" s="16"/>
      <c r="E413" s="17" t="s">
        <v>989</v>
      </c>
    </row>
    <row r="414" spans="1:5" s="28" customFormat="1" ht="13.8" x14ac:dyDescent="0.3">
      <c r="A414" s="13" t="s">
        <v>193</v>
      </c>
      <c r="B414" s="14" t="str">
        <f>HYPERLINK("http://apps.fcc.gov/ecfs/document/view?id=7521088997","Expression of Interest (17 pages)")</f>
        <v>Expression of Interest (17 pages)</v>
      </c>
      <c r="C414" s="15" t="s">
        <v>863</v>
      </c>
      <c r="D414" s="16"/>
      <c r="E414" s="17" t="s">
        <v>2</v>
      </c>
    </row>
    <row r="415" spans="1:5" s="28" customFormat="1" ht="13.8" x14ac:dyDescent="0.3">
      <c r="A415" s="29" t="s">
        <v>1016</v>
      </c>
      <c r="B415" s="24" t="str">
        <f>HYPERLINK("http://apps.fcc.gov/ecfs/document/view?id=7521092134","  (6 pages)")</f>
        <v xml:space="preserve">  (6 pages)</v>
      </c>
      <c r="C415" s="30" t="s">
        <v>856</v>
      </c>
      <c r="D415" s="29"/>
      <c r="E415" s="17" t="s">
        <v>979</v>
      </c>
    </row>
    <row r="416" spans="1:5" s="28" customFormat="1" ht="27.6" x14ac:dyDescent="0.3">
      <c r="A416" s="13" t="s">
        <v>192</v>
      </c>
      <c r="B416" s="14" t="str">
        <f>HYPERLINK("http://apps.fcc.gov/ecfs/document/view?id=7521089068","Rural Broadband Experiments Letter of Interest (3 pages)")</f>
        <v>Rural Broadband Experiments Letter of Interest (3 pages)</v>
      </c>
      <c r="C416" s="15" t="s">
        <v>857</v>
      </c>
      <c r="D416" s="16"/>
      <c r="E416" s="17" t="s">
        <v>942</v>
      </c>
    </row>
    <row r="417" spans="1:5" s="28" customFormat="1" ht="27.6" x14ac:dyDescent="0.3">
      <c r="A417" s="13" t="s">
        <v>191</v>
      </c>
      <c r="B417" s="35" t="str">
        <f>HYPERLINK("http://apps.fcc.gov/ecfs/document/view?id=7521089029","Letter of Interest RoR (2 pages)")</f>
        <v>Letter of Interest RoR (2 pages)</v>
      </c>
      <c r="C417" s="15" t="s">
        <v>854</v>
      </c>
      <c r="D417" s="36"/>
      <c r="E417" s="17" t="s">
        <v>1057</v>
      </c>
    </row>
    <row r="418" spans="1:5" s="28" customFormat="1" ht="27.6" x14ac:dyDescent="0.3">
      <c r="A418" s="13" t="s">
        <v>191</v>
      </c>
      <c r="B418" s="35" t="str">
        <f>HYPERLINK("http://apps.fcc.gov/ecfs/document/view?id=7521089025","Letter of Interest (2 pages)")</f>
        <v>Letter of Interest (2 pages)</v>
      </c>
      <c r="C418" s="15" t="s">
        <v>854</v>
      </c>
      <c r="D418" s="36"/>
      <c r="E418" s="17" t="s">
        <v>1057</v>
      </c>
    </row>
    <row r="419" spans="1:5" s="28" customFormat="1" ht="27.6" x14ac:dyDescent="0.3">
      <c r="A419" s="29" t="s">
        <v>730</v>
      </c>
      <c r="B419" s="24" t="str">
        <f>HYPERLINK("http://apps.fcc.gov/ecfs/document/view?id=7521089486","Tribal and CAI VOIP Experiment (11 pages)")</f>
        <v>Tribal and CAI VOIP Experiment (11 pages)</v>
      </c>
      <c r="C419" s="17" t="s">
        <v>876</v>
      </c>
      <c r="D419" s="26"/>
      <c r="E419" s="17" t="s">
        <v>928</v>
      </c>
    </row>
    <row r="420" spans="1:5" s="28" customFormat="1" ht="13.8" x14ac:dyDescent="0.3">
      <c r="A420" s="29" t="s">
        <v>729</v>
      </c>
      <c r="B420" s="24" t="str">
        <f>HYPERLINK("http://apps.fcc.gov/ecfs/document/view?id=7521089697","  (4 pages)")</f>
        <v xml:space="preserve">  (4 pages)</v>
      </c>
      <c r="C420" s="17" t="s">
        <v>859</v>
      </c>
      <c r="D420" s="26"/>
      <c r="E420" s="17" t="s">
        <v>935</v>
      </c>
    </row>
    <row r="421" spans="1:5" s="28" customFormat="1" ht="13.8" x14ac:dyDescent="0.3">
      <c r="A421" s="29" t="s">
        <v>728</v>
      </c>
      <c r="B421" s="24" t="str">
        <f>HYPERLINK("http://apps.fcc.gov/ecfs/document/view?id=7521089793","ICN EOI Polar Bear (27 pages)")</f>
        <v>ICN EOI Polar Bear (27 pages)</v>
      </c>
      <c r="C421" s="17" t="s">
        <v>886</v>
      </c>
      <c r="D421" s="26"/>
      <c r="E421" s="17" t="s">
        <v>935</v>
      </c>
    </row>
    <row r="422" spans="1:5" s="28" customFormat="1" ht="13.8" x14ac:dyDescent="0.3">
      <c r="A422" s="29" t="s">
        <v>727</v>
      </c>
      <c r="B422" s="24" t="str">
        <f>HYPERLINK("http://apps.fcc.gov/ecfs/document/view?id=7521089845","  (2 pages)")</f>
        <v xml:space="preserve">  (2 pages)</v>
      </c>
      <c r="C422" s="17" t="s">
        <v>854</v>
      </c>
      <c r="D422" s="26"/>
      <c r="E422" s="17" t="s">
        <v>927</v>
      </c>
    </row>
    <row r="423" spans="1:5" s="28" customFormat="1" ht="13.8" x14ac:dyDescent="0.3">
      <c r="A423" s="29" t="s">
        <v>732</v>
      </c>
      <c r="B423" s="24" t="str">
        <f>HYPERLINK("http://apps.fcc.gov/ecfs/document/view?id=7521089832","  (7 pages)")</f>
        <v xml:space="preserve">  (7 pages)</v>
      </c>
      <c r="C423" s="17" t="s">
        <v>866</v>
      </c>
      <c r="D423" s="26"/>
      <c r="E423" s="17" t="s">
        <v>943</v>
      </c>
    </row>
    <row r="424" spans="1:5" s="28" customFormat="1" ht="13.8" x14ac:dyDescent="0.3">
      <c r="A424" s="29" t="s">
        <v>732</v>
      </c>
      <c r="B424" s="24" t="str">
        <f>HYPERLINK("http://apps.fcc.gov/ecfs/document/view?id=7521089539","  (7 pages)")</f>
        <v xml:space="preserve">  (7 pages)</v>
      </c>
      <c r="C424" s="17" t="s">
        <v>866</v>
      </c>
      <c r="D424" s="26"/>
      <c r="E424" s="17" t="s">
        <v>943</v>
      </c>
    </row>
    <row r="425" spans="1:5" s="28" customFormat="1" ht="19.2" customHeight="1" x14ac:dyDescent="0.3">
      <c r="A425" s="13" t="s">
        <v>73</v>
      </c>
      <c r="B425" s="14" t="str">
        <f>HYPERLINK("http://apps.fcc.gov/ecfs/document/view?id=7521089243","Expression of Interest (22 pages)")</f>
        <v>Expression of Interest (22 pages)</v>
      </c>
      <c r="C425" s="15" t="s">
        <v>870</v>
      </c>
      <c r="D425" s="16"/>
      <c r="E425" s="17" t="s">
        <v>1176</v>
      </c>
    </row>
    <row r="426" spans="1:5" s="28" customFormat="1" ht="27.6" x14ac:dyDescent="0.3">
      <c r="A426" s="13" t="s">
        <v>190</v>
      </c>
      <c r="B426" s="14" t="str">
        <f>HYPERLINK("http://apps.fcc.gov/ecfs/document/view?id=7521089073","EOI for Rural Broadband Experiment (2 pages)")</f>
        <v>EOI for Rural Broadband Experiment (2 pages)</v>
      </c>
      <c r="C426" s="15" t="s">
        <v>854</v>
      </c>
      <c r="D426" s="16"/>
      <c r="E426" s="17" t="s">
        <v>973</v>
      </c>
    </row>
    <row r="427" spans="1:5" s="28" customFormat="1" ht="13.8" x14ac:dyDescent="0.3">
      <c r="A427" s="29" t="s">
        <v>726</v>
      </c>
      <c r="B427" s="24" t="str">
        <f>HYPERLINK("http://apps.fcc.gov/ecfs/document/view?id=7521089543","  (7 pages)")</f>
        <v xml:space="preserve">  (7 pages)</v>
      </c>
      <c r="C427" s="17" t="s">
        <v>866</v>
      </c>
      <c r="D427" s="26"/>
      <c r="E427" s="17" t="s">
        <v>964</v>
      </c>
    </row>
    <row r="428" spans="1:5" s="28" customFormat="1" ht="13.8" x14ac:dyDescent="0.3">
      <c r="A428" s="13" t="s">
        <v>189</v>
      </c>
      <c r="B428" s="14" t="str">
        <f>HYPERLINK("http://apps.fcc.gov/ecfs/document/view?id=7521089096","EOI expression of interest (7 pages)")</f>
        <v>EOI expression of interest (7 pages)</v>
      </c>
      <c r="C428" s="15" t="s">
        <v>858</v>
      </c>
      <c r="D428" s="16" t="s">
        <v>1056</v>
      </c>
      <c r="E428" s="17" t="s">
        <v>925</v>
      </c>
    </row>
    <row r="429" spans="1:5" s="28" customFormat="1" ht="27.6" x14ac:dyDescent="0.3">
      <c r="A429" s="13" t="s">
        <v>71</v>
      </c>
      <c r="B429" s="14" t="str">
        <f>HYPERLINK("http://apps.fcc.gov/ecfs/document/view?id=7521089259","Expression of Interest (3 pages)")</f>
        <v>Expression of Interest (3 pages)</v>
      </c>
      <c r="C429" s="15" t="s">
        <v>855</v>
      </c>
      <c r="D429" s="16" t="s">
        <v>1149</v>
      </c>
      <c r="E429" s="17" t="s">
        <v>928</v>
      </c>
    </row>
    <row r="430" spans="1:5" s="28" customFormat="1" ht="13.8" x14ac:dyDescent="0.3">
      <c r="A430" s="13" t="s">
        <v>500</v>
      </c>
      <c r="B430" s="14" t="str">
        <f>HYPERLINK("http://apps.fcc.gov/ecfs/document/view?id=7521088213","  (4 pages)")</f>
        <v xml:space="preserve">  (4 pages)</v>
      </c>
      <c r="C430" s="15" t="s">
        <v>859</v>
      </c>
      <c r="D430" s="16" t="s">
        <v>995</v>
      </c>
      <c r="E430" s="17" t="s">
        <v>2</v>
      </c>
    </row>
    <row r="431" spans="1:5" s="28" customFormat="1" ht="27.6" x14ac:dyDescent="0.3">
      <c r="A431" s="29" t="s">
        <v>725</v>
      </c>
      <c r="B431" s="24" t="str">
        <f>HYPERLINK("http://apps.fcc.gov/ecfs/document/view?id=7521089841"," Expression of Interest Rural Broadband Experiments (3 pages)")</f>
        <v xml:space="preserve"> Expression of Interest Rural Broadband Experiments (3 pages)</v>
      </c>
      <c r="C431" s="17" t="s">
        <v>855</v>
      </c>
      <c r="D431" s="26"/>
      <c r="E431" s="17" t="s">
        <v>938</v>
      </c>
    </row>
    <row r="432" spans="1:5" s="28" customFormat="1" ht="27.6" x14ac:dyDescent="0.3">
      <c r="A432" s="13" t="s">
        <v>70</v>
      </c>
      <c r="B432" s="14" t="str">
        <f>HYPERLINK("http://apps.fcc.gov/ecfs/document/view?id=7521089455","Bourbon County KS Connect America Fund Expression of Interest (6 pages)")</f>
        <v>Bourbon County KS Connect America Fund Expression of Interest (6 pages)</v>
      </c>
      <c r="C432" s="15" t="s">
        <v>856</v>
      </c>
      <c r="D432" s="16"/>
      <c r="E432" s="17" t="s">
        <v>930</v>
      </c>
    </row>
    <row r="433" spans="1:5" s="28" customFormat="1" ht="13.8" x14ac:dyDescent="0.3">
      <c r="A433" s="29" t="s">
        <v>724</v>
      </c>
      <c r="B433" s="24" t="str">
        <f>HYPERLINK("http://apps.fcc.gov/ecfs/document/view?id=7521089891","  (3 pages)")</f>
        <v xml:space="preserve">  (3 pages)</v>
      </c>
      <c r="C433" s="17" t="s">
        <v>855</v>
      </c>
      <c r="D433" s="26" t="s">
        <v>1174</v>
      </c>
      <c r="E433" s="17" t="s">
        <v>1020</v>
      </c>
    </row>
    <row r="434" spans="1:5" s="28" customFormat="1" ht="13.8" x14ac:dyDescent="0.3">
      <c r="A434" s="13" t="s">
        <v>302</v>
      </c>
      <c r="B434" s="14" t="str">
        <f>HYPERLINK("http://apps.fcc.gov/ecfs/document/view?id=7521088827","  (2 pages)")</f>
        <v xml:space="preserve">  (2 pages)</v>
      </c>
      <c r="C434" s="15" t="s">
        <v>854</v>
      </c>
      <c r="D434" s="16" t="s">
        <v>983</v>
      </c>
      <c r="E434" s="17" t="s">
        <v>930</v>
      </c>
    </row>
    <row r="435" spans="1:5" s="28" customFormat="1" ht="27.6" x14ac:dyDescent="0.3">
      <c r="A435" s="29" t="s">
        <v>723</v>
      </c>
      <c r="B435" s="24" t="str">
        <f>HYPERLINK("http://apps.fcc.gov/ecfs/document/view?id=7521089487","Letter of Interest Rural Broadband (4 pages)")</f>
        <v>Letter of Interest Rural Broadband (4 pages)</v>
      </c>
      <c r="C435" s="17" t="s">
        <v>859</v>
      </c>
      <c r="D435" s="26" t="s">
        <v>1172</v>
      </c>
      <c r="E435" s="17" t="s">
        <v>1173</v>
      </c>
    </row>
    <row r="436" spans="1:5" s="28" customFormat="1" ht="13.8" x14ac:dyDescent="0.3">
      <c r="A436" s="13" t="s">
        <v>188</v>
      </c>
      <c r="B436" s="24" t="str">
        <f>HYPERLINK("http://apps.fcc.gov/ecfs/document/view?id=7521089018","  (3 pages)")</f>
        <v xml:space="preserve">  (3 pages)</v>
      </c>
      <c r="C436" s="15" t="s">
        <v>856</v>
      </c>
      <c r="D436" s="33"/>
      <c r="E436" s="34"/>
    </row>
    <row r="437" spans="1:5" s="28" customFormat="1" ht="13.8" x14ac:dyDescent="0.3">
      <c r="A437" s="13" t="s">
        <v>499</v>
      </c>
      <c r="B437" s="14" t="str">
        <f>HYPERLINK("http://apps.fcc.gov/ecfs/document/view?id=7521088173","  (1 page)")</f>
        <v xml:space="preserve">  (1 page)</v>
      </c>
      <c r="C437" s="15" t="s">
        <v>862</v>
      </c>
      <c r="D437" s="16" t="s">
        <v>994</v>
      </c>
      <c r="E437" s="17" t="s">
        <v>930</v>
      </c>
    </row>
    <row r="438" spans="1:5" s="28" customFormat="1" ht="41.4" x14ac:dyDescent="0.3">
      <c r="A438" s="13" t="s">
        <v>72</v>
      </c>
      <c r="B438" s="14" t="str">
        <f>HYPERLINK("http://apps.fcc.gov/ecfs/document/view?id=7521089417","Expression of Interest Rural Broadband Experiments Connect America Fund (6 pages)")</f>
        <v>Expression of Interest Rural Broadband Experiments Connect America Fund (6 pages)</v>
      </c>
      <c r="C438" s="15" t="s">
        <v>856</v>
      </c>
      <c r="D438" s="16"/>
      <c r="E438" s="17" t="s">
        <v>936</v>
      </c>
    </row>
    <row r="439" spans="1:5" s="28" customFormat="1" ht="13.8" x14ac:dyDescent="0.3">
      <c r="A439" s="29" t="s">
        <v>722</v>
      </c>
      <c r="B439" s="24"/>
      <c r="C439" s="17" t="s">
        <v>871</v>
      </c>
      <c r="D439" s="26"/>
      <c r="E439" s="17"/>
    </row>
    <row r="440" spans="1:5" s="28" customFormat="1" ht="13.8" x14ac:dyDescent="0.3">
      <c r="A440" s="29" t="s">
        <v>721</v>
      </c>
      <c r="B440" s="24" t="str">
        <f>HYPERLINK("http://apps.fcc.gov/ecfs/document/view?id=7521089680","Expression of Interest (3 pages)")</f>
        <v>Expression of Interest (3 pages)</v>
      </c>
      <c r="C440" s="17" t="s">
        <v>855</v>
      </c>
      <c r="D440" s="26" t="s">
        <v>1170</v>
      </c>
      <c r="E440" s="17" t="s">
        <v>1171</v>
      </c>
    </row>
    <row r="441" spans="1:5" s="28" customFormat="1" ht="13.8" x14ac:dyDescent="0.3">
      <c r="A441" s="29" t="s">
        <v>720</v>
      </c>
      <c r="B441" s="24" t="str">
        <f>HYPERLINK("http://apps.fcc.gov/ecfs/document/view?id=7521089960","  (10 pages)")</f>
        <v xml:space="preserve">  (10 pages)</v>
      </c>
      <c r="C441" s="17" t="s">
        <v>876</v>
      </c>
      <c r="D441" s="26" t="s">
        <v>1168</v>
      </c>
      <c r="E441" s="17" t="s">
        <v>1169</v>
      </c>
    </row>
    <row r="442" spans="1:5" s="28" customFormat="1" ht="13.8" x14ac:dyDescent="0.3">
      <c r="A442" s="13" t="s">
        <v>187</v>
      </c>
      <c r="B442" s="35" t="str">
        <f>HYPERLINK("http://apps.fcc.gov/ecfs/document/view?id=7521089101","  (2 pages)")</f>
        <v xml:space="preserve">  (2 pages)</v>
      </c>
      <c r="C442" s="15" t="s">
        <v>854</v>
      </c>
      <c r="D442" s="36" t="s">
        <v>1055</v>
      </c>
      <c r="E442" s="17" t="s">
        <v>969</v>
      </c>
    </row>
    <row r="443" spans="1:5" s="28" customFormat="1" ht="13.8" x14ac:dyDescent="0.3">
      <c r="A443" s="13" t="s">
        <v>186</v>
      </c>
      <c r="B443" s="14" t="str">
        <f>HYPERLINK("http://apps.fcc.gov/ecfs/document/view?id=7521089124","  (5 pages)")</f>
        <v xml:space="preserve">  (5 pages)</v>
      </c>
      <c r="C443" s="15" t="s">
        <v>857</v>
      </c>
      <c r="D443" s="16" t="s">
        <v>1054</v>
      </c>
      <c r="E443" s="17" t="s">
        <v>1084</v>
      </c>
    </row>
    <row r="444" spans="1:5" s="28" customFormat="1" ht="13.8" x14ac:dyDescent="0.3">
      <c r="A444" s="13" t="s">
        <v>375</v>
      </c>
      <c r="B444" s="14" t="str">
        <f>HYPERLINK("http://apps.fcc.gov/ecfs/document/view?id=7521088723","Expression of Interest (3 pages)")</f>
        <v>Expression of Interest (3 pages)</v>
      </c>
      <c r="C444" s="15" t="s">
        <v>855</v>
      </c>
      <c r="D444" s="16"/>
      <c r="E444" s="17" t="s">
        <v>959</v>
      </c>
    </row>
    <row r="445" spans="1:5" s="28" customFormat="1" ht="13.8" x14ac:dyDescent="0.3">
      <c r="A445" s="13" t="s">
        <v>445</v>
      </c>
      <c r="B445" s="14" t="str">
        <f>HYPERLINK("http://apps.fcc.gov/ecfs/document/view?id=7521088509","Expression of Interest NM (6 pages)")</f>
        <v>Expression of Interest NM (6 pages)</v>
      </c>
      <c r="C445" s="15" t="s">
        <v>856</v>
      </c>
      <c r="D445" s="16"/>
      <c r="E445" s="17" t="s">
        <v>988</v>
      </c>
    </row>
    <row r="446" spans="1:5" s="28" customFormat="1" ht="13.8" x14ac:dyDescent="0.3">
      <c r="A446" s="13" t="s">
        <v>69</v>
      </c>
      <c r="B446" s="14" t="str">
        <f>HYPERLINK("http://apps.fcc.gov/ecfs/document/view?id=7521089456","  (3 pages)")</f>
        <v xml:space="preserve">  (3 pages)</v>
      </c>
      <c r="C446" s="15" t="s">
        <v>855</v>
      </c>
      <c r="D446" s="16" t="s">
        <v>1147</v>
      </c>
      <c r="E446" s="17" t="s">
        <v>1148</v>
      </c>
    </row>
    <row r="447" spans="1:5" s="28" customFormat="1" ht="27.6" x14ac:dyDescent="0.3">
      <c r="A447" s="29" t="s">
        <v>719</v>
      </c>
      <c r="B447" s="24" t="str">
        <f>HYPERLINK("http://apps.fcc.gov/ecfs/document/view?id=7521089796","Rural Broadband Experiment Letter of Interest (5 pages)")</f>
        <v>Rural Broadband Experiment Letter of Interest (5 pages)</v>
      </c>
      <c r="C447" s="17" t="s">
        <v>857</v>
      </c>
      <c r="D447" s="26" t="s">
        <v>1167</v>
      </c>
      <c r="E447" s="17" t="s">
        <v>942</v>
      </c>
    </row>
    <row r="448" spans="1:5" s="28" customFormat="1" ht="27.6" x14ac:dyDescent="0.3">
      <c r="A448" s="13" t="s">
        <v>68</v>
      </c>
      <c r="B448" s="14" t="str">
        <f>HYPERLINK("http://apps.fcc.gov/ecfs/document/view?id=7521089425","TCC EOI for Rural BB Piolt (2 pages)")</f>
        <v>TCC EOI for Rural BB Piolt (2 pages)</v>
      </c>
      <c r="C448" s="15" t="s">
        <v>854</v>
      </c>
      <c r="D448" s="16" t="s">
        <v>1146</v>
      </c>
      <c r="E448" s="17" t="s">
        <v>937</v>
      </c>
    </row>
    <row r="449" spans="1:5" s="28" customFormat="1" ht="27.6" x14ac:dyDescent="0.3">
      <c r="A449" s="29" t="s">
        <v>718</v>
      </c>
      <c r="B449" s="24" t="str">
        <f>HYPERLINK("http://apps.fcc.gov/ecfs/document/view?id=7521089374","Expression of Interest (3 pages)")</f>
        <v>Expression of Interest (3 pages)</v>
      </c>
      <c r="C449" s="17" t="s">
        <v>855</v>
      </c>
      <c r="D449" s="26" t="s">
        <v>1166</v>
      </c>
      <c r="E449" s="17" t="s">
        <v>2</v>
      </c>
    </row>
    <row r="450" spans="1:5" s="28" customFormat="1" ht="13.8" x14ac:dyDescent="0.3">
      <c r="A450" s="29" t="s">
        <v>717</v>
      </c>
      <c r="B450" s="24" t="str">
        <f>HYPERLINK("http://apps.fcc.gov/ecfs/document/view?id=7521089626","  (2 pages)")</f>
        <v xml:space="preserve">  (2 pages)</v>
      </c>
      <c r="C450" s="17" t="s">
        <v>854</v>
      </c>
      <c r="D450" s="26" t="s">
        <v>1165</v>
      </c>
      <c r="E450" s="17" t="s">
        <v>973</v>
      </c>
    </row>
    <row r="451" spans="1:5" s="28" customFormat="1" ht="13.8" x14ac:dyDescent="0.3">
      <c r="A451" s="13" t="s">
        <v>374</v>
      </c>
      <c r="B451" s="14" t="str">
        <f>HYPERLINK("http://apps.fcc.gov/ecfs/document/view?id=7521088620","  (2 pages)")</f>
        <v xml:space="preserve">  (2 pages)</v>
      </c>
      <c r="C451" s="15" t="s">
        <v>859</v>
      </c>
      <c r="D451" s="16" t="s">
        <v>1078</v>
      </c>
      <c r="E451" s="17" t="s">
        <v>932</v>
      </c>
    </row>
    <row r="452" spans="1:5" s="28" customFormat="1" ht="13.8" x14ac:dyDescent="0.3">
      <c r="A452" s="13" t="s">
        <v>444</v>
      </c>
      <c r="B452" s="14" t="str">
        <f>HYPERLINK("http://apps.fcc.gov/ecfs/document/view?id=7521088390","  (2 pages)")</f>
        <v xml:space="preserve">  (2 pages)</v>
      </c>
      <c r="C452" s="15" t="s">
        <v>854</v>
      </c>
      <c r="D452" s="16"/>
      <c r="E452" s="17" t="s">
        <v>959</v>
      </c>
    </row>
    <row r="453" spans="1:5" s="28" customFormat="1" ht="27.6" x14ac:dyDescent="0.3">
      <c r="A453" s="13" t="s">
        <v>373</v>
      </c>
      <c r="B453" s="14" t="str">
        <f>HYPERLINK("http://apps.fcc.gov/ecfs/document/view?id=7521088651","EOI for Rural Broadband Experiment (8 pages)")</f>
        <v>EOI for Rural Broadband Experiment (8 pages)</v>
      </c>
      <c r="C453" s="15" t="s">
        <v>873</v>
      </c>
      <c r="D453" s="16"/>
      <c r="E453" s="17" t="s">
        <v>973</v>
      </c>
    </row>
    <row r="454" spans="1:5" s="28" customFormat="1" ht="13.8" x14ac:dyDescent="0.3">
      <c r="A454" s="13" t="s">
        <v>498</v>
      </c>
      <c r="B454" s="14" t="str">
        <f>HYPERLINK("http://apps.fcc.gov/ecfs/document/view?id=7521088113","Expression of Interest (6 pages)")</f>
        <v>Expression of Interest (6 pages)</v>
      </c>
      <c r="C454" s="15" t="s">
        <v>856</v>
      </c>
      <c r="D454" s="16"/>
      <c r="E454" s="17" t="s">
        <v>931</v>
      </c>
    </row>
    <row r="455" spans="1:5" s="28" customFormat="1" ht="27.6" x14ac:dyDescent="0.3">
      <c r="A455" s="29" t="s">
        <v>716</v>
      </c>
      <c r="B455" s="24" t="str">
        <f>HYPERLINK("http://apps.fcc.gov/ecfs/document/view?id=7521089510","JTC EOI Rural CAF Experiment (4 pages)")</f>
        <v>JTC EOI Rural CAF Experiment (4 pages)</v>
      </c>
      <c r="C455" s="17" t="s">
        <v>859</v>
      </c>
      <c r="D455" s="26"/>
      <c r="E455" s="17" t="s">
        <v>964</v>
      </c>
    </row>
    <row r="456" spans="1:5" s="28" customFormat="1" ht="13.8" x14ac:dyDescent="0.3">
      <c r="A456" s="13" t="s">
        <v>185</v>
      </c>
      <c r="B456" s="14" t="str">
        <f>HYPERLINK("http://apps.fcc.gov/ecfs/document/view?id=7521089188","  (18 pages)")</f>
        <v xml:space="preserve">  (18 pages)</v>
      </c>
      <c r="C456" s="15" t="s">
        <v>858</v>
      </c>
      <c r="D456" s="16" t="s">
        <v>62</v>
      </c>
      <c r="E456" s="17" t="s">
        <v>924</v>
      </c>
    </row>
    <row r="457" spans="1:5" s="28" customFormat="1" ht="13.8" x14ac:dyDescent="0.3">
      <c r="A457" s="13" t="s">
        <v>301</v>
      </c>
      <c r="B457" s="14" t="str">
        <f>HYPERLINK("http://apps.fcc.gov/ecfs/document/view?id=7521088933","  (5 pages)")</f>
        <v xml:space="preserve">  (5 pages)</v>
      </c>
      <c r="C457" s="15" t="s">
        <v>857</v>
      </c>
      <c r="D457" s="13"/>
      <c r="E457" s="17" t="s">
        <v>964</v>
      </c>
    </row>
    <row r="458" spans="1:5" s="28" customFormat="1" ht="13.8" x14ac:dyDescent="0.3">
      <c r="A458" s="13" t="s">
        <v>497</v>
      </c>
      <c r="B458" s="14" t="str">
        <f>HYPERLINK("http://apps.fcc.gov/ecfs/document/view?id=7521087783"," (1 page)")</f>
        <v xml:space="preserve"> (1 page)</v>
      </c>
      <c r="C458" s="15" t="s">
        <v>862</v>
      </c>
      <c r="D458" s="16"/>
      <c r="E458" s="17"/>
    </row>
    <row r="459" spans="1:5" s="28" customFormat="1" ht="13.8" x14ac:dyDescent="0.3">
      <c r="A459" s="29" t="s">
        <v>714</v>
      </c>
      <c r="B459" s="24" t="str">
        <f>HYPERLINK("http://apps.fcc.gov/ecfs/document/view?id=7521089687","  (9 pages)")</f>
        <v xml:space="preserve">  (9 pages)</v>
      </c>
      <c r="C459" s="17" t="s">
        <v>860</v>
      </c>
      <c r="D459" s="26" t="s">
        <v>1164</v>
      </c>
      <c r="E459" s="17" t="s">
        <v>939</v>
      </c>
    </row>
    <row r="460" spans="1:5" s="28" customFormat="1" ht="13.8" x14ac:dyDescent="0.3">
      <c r="A460" s="29" t="s">
        <v>713</v>
      </c>
      <c r="B460" s="24" t="str">
        <f>HYPERLINK("http://apps.fcc.gov/ecfs/document/view?id=7521089010","  (4 pages)")</f>
        <v xml:space="preserve">  (4 pages)</v>
      </c>
      <c r="C460" s="17" t="s">
        <v>859</v>
      </c>
      <c r="D460" s="26" t="s">
        <v>1163</v>
      </c>
      <c r="E460" s="17" t="s">
        <v>967</v>
      </c>
    </row>
    <row r="461" spans="1:5" s="28" customFormat="1" ht="27.6" x14ac:dyDescent="0.3">
      <c r="A461" s="13" t="s">
        <v>67</v>
      </c>
      <c r="B461" s="14" t="str">
        <f>HYPERLINK("http://apps.fcc.gov/ecfs/document/view?id=7521089424","Expression of Interest (3 pages)")</f>
        <v>Expression of Interest (3 pages)</v>
      </c>
      <c r="C461" s="15" t="s">
        <v>855</v>
      </c>
      <c r="D461" s="16" t="s">
        <v>1145</v>
      </c>
      <c r="E461" s="17" t="s">
        <v>2</v>
      </c>
    </row>
    <row r="462" spans="1:5" s="28" customFormat="1" ht="27.6" x14ac:dyDescent="0.3">
      <c r="A462" s="29" t="s">
        <v>712</v>
      </c>
      <c r="B462" s="24" t="str">
        <f>HYPERLINK("http://apps.fcc.gov/ecfs/document/view?id=7521089189","Blacksheep Expression of Interest Letter (6 pages)")</f>
        <v>Blacksheep Expression of Interest Letter (6 pages)</v>
      </c>
      <c r="C462" s="17" t="s">
        <v>856</v>
      </c>
      <c r="D462" s="26" t="s">
        <v>1162</v>
      </c>
      <c r="E462" s="17" t="s">
        <v>979</v>
      </c>
    </row>
    <row r="463" spans="1:5" s="28" customFormat="1" ht="13.8" x14ac:dyDescent="0.3">
      <c r="A463" s="29" t="s">
        <v>711</v>
      </c>
      <c r="B463" s="24" t="str">
        <f>HYPERLINK("http://apps.fcc.gov/ecfs/document/view?id=7521089943","Expression of interest (2 pages)")</f>
        <v>Expression of interest (2 pages)</v>
      </c>
      <c r="C463" s="17" t="s">
        <v>854</v>
      </c>
      <c r="D463" s="26"/>
      <c r="E463" s="17" t="s">
        <v>928</v>
      </c>
    </row>
    <row r="464" spans="1:5" s="28" customFormat="1" ht="27.6" x14ac:dyDescent="0.3">
      <c r="A464" s="29" t="s">
        <v>710</v>
      </c>
      <c r="B464" s="24" t="str">
        <f>HYPERLINK("http://apps.fcc.gov/ecfs/document/view?id=7521089111","The Dannon Project Rural Broadband Hobson City (10 pages)")</f>
        <v>The Dannon Project Rural Broadband Hobson City (10 pages)</v>
      </c>
      <c r="C464" s="17" t="s">
        <v>877</v>
      </c>
      <c r="D464" s="26" t="s">
        <v>1228</v>
      </c>
      <c r="E464" s="17" t="s">
        <v>968</v>
      </c>
    </row>
    <row r="465" spans="1:5" s="28" customFormat="1" ht="41.4" x14ac:dyDescent="0.3">
      <c r="A465" s="29" t="s">
        <v>709</v>
      </c>
      <c r="B465" s="24" t="str">
        <f>HYPERLINK("http://apps.fcc.gov/ecfs/document/view?id=7521089676","AirNorth Expression of Interest in Rural Broadband Experiments (11 pages)")</f>
        <v>AirNorth Expression of Interest in Rural Broadband Experiments (11 pages)</v>
      </c>
      <c r="C465" s="17" t="s">
        <v>876</v>
      </c>
      <c r="D465" s="26" t="s">
        <v>1227</v>
      </c>
      <c r="E465" s="17" t="s">
        <v>943</v>
      </c>
    </row>
    <row r="466" spans="1:5" s="28" customFormat="1" ht="13.8" x14ac:dyDescent="0.3">
      <c r="A466" s="13" t="s">
        <v>184</v>
      </c>
      <c r="B466" s="14" t="str">
        <f>HYPERLINK("http://apps.fcc.gov/ecfs/document/view?id=7521089214","  (4 pages)")</f>
        <v xml:space="preserve">  (4 pages)</v>
      </c>
      <c r="C466" s="15" t="s">
        <v>859</v>
      </c>
      <c r="D466" s="16"/>
      <c r="E466" s="17" t="s">
        <v>1045</v>
      </c>
    </row>
    <row r="467" spans="1:5" s="28" customFormat="1" ht="41.4" x14ac:dyDescent="0.3">
      <c r="A467" s="28" t="s">
        <v>1096</v>
      </c>
      <c r="B467" s="10" t="str">
        <f>HYPERLINK("http://apps.fcc.gov/ecfs/document/view?id=7521092621","Kingdom Technology Solutions Inc Expression of Interest (4 pages)")</f>
        <v>Kingdom Technology Solutions Inc Expression of Interest (4 pages)</v>
      </c>
      <c r="C467" s="17" t="s">
        <v>859</v>
      </c>
      <c r="D467" s="29" t="s">
        <v>1189</v>
      </c>
      <c r="E467" s="17" t="s">
        <v>2</v>
      </c>
    </row>
    <row r="468" spans="1:5" s="28" customFormat="1" ht="13.8" x14ac:dyDescent="0.3">
      <c r="A468" s="13" t="s">
        <v>300</v>
      </c>
      <c r="B468" s="14" t="str">
        <f>HYPERLINK("http://apps.fcc.gov/ecfs/document/view?id=7521088865","  (8 pages)")</f>
        <v xml:space="preserve">  (8 pages)</v>
      </c>
      <c r="C468" s="15" t="s">
        <v>873</v>
      </c>
      <c r="D468" s="13"/>
      <c r="E468" s="17" t="s">
        <v>988</v>
      </c>
    </row>
    <row r="469" spans="1:5" s="28" customFormat="1" ht="13.8" x14ac:dyDescent="0.3">
      <c r="A469" s="29" t="s">
        <v>715</v>
      </c>
      <c r="B469" s="24" t="str">
        <f>HYPERLINK("http://apps.fcc.gov/ecfs/document/view?id=7521089986","Expression of Interest (3 pages)")</f>
        <v>Expression of Interest (3 pages)</v>
      </c>
      <c r="C469" s="17" t="s">
        <v>855</v>
      </c>
      <c r="D469" s="26"/>
      <c r="E469" s="17" t="s">
        <v>964</v>
      </c>
    </row>
    <row r="470" spans="1:5" s="28" customFormat="1" ht="13.8" x14ac:dyDescent="0.3">
      <c r="A470" s="29" t="s">
        <v>708</v>
      </c>
      <c r="B470" s="24" t="str">
        <f>HYPERLINK("http://apps.fcc.gov/ecfs/document/view?id=7521089223","Expression of Interest (3 pages)")</f>
        <v>Expression of Interest (3 pages)</v>
      </c>
      <c r="C470" s="17" t="s">
        <v>855</v>
      </c>
      <c r="D470" s="26" t="s">
        <v>1226</v>
      </c>
      <c r="E470" s="17" t="s">
        <v>960</v>
      </c>
    </row>
    <row r="471" spans="1:5" s="28" customFormat="1" ht="13.8" x14ac:dyDescent="0.3">
      <c r="A471" s="29" t="s">
        <v>707</v>
      </c>
      <c r="B471" s="24" t="str">
        <f>HYPERLINK("http://apps.fcc.gov/ecfs/document/view?id=7521089523","Expression of Interest (5 pages)")</f>
        <v>Expression of Interest (5 pages)</v>
      </c>
      <c r="C471" s="17" t="s">
        <v>857</v>
      </c>
      <c r="D471" s="26" t="s">
        <v>1225</v>
      </c>
      <c r="E471" s="17" t="s">
        <v>960</v>
      </c>
    </row>
    <row r="472" spans="1:5" s="28" customFormat="1" ht="13.8" x14ac:dyDescent="0.3">
      <c r="A472" s="13" t="s">
        <v>371</v>
      </c>
      <c r="B472" s="14" t="str">
        <f>HYPERLINK("http://apps.fcc.gov/ecfs/document/view?id=7521088740","  (5 pages)")</f>
        <v xml:space="preserve">  (5 pages)</v>
      </c>
      <c r="C472" s="15" t="s">
        <v>857</v>
      </c>
      <c r="D472" s="16"/>
      <c r="E472" s="17" t="s">
        <v>935</v>
      </c>
    </row>
    <row r="473" spans="1:5" s="28" customFormat="1" ht="27.6" x14ac:dyDescent="0.3">
      <c r="A473" s="29" t="s">
        <v>702</v>
      </c>
      <c r="B473" s="24" t="str">
        <f>HYPERLINK("http://apps.fcc.gov/ecfs/document/view?id=7521089864","LaHarpe Expression of Interest (10 pages)")</f>
        <v>LaHarpe Expression of Interest (10 pages)</v>
      </c>
      <c r="C473" s="17" t="s">
        <v>877</v>
      </c>
      <c r="D473" s="26"/>
      <c r="E473" s="17" t="s">
        <v>930</v>
      </c>
    </row>
    <row r="474" spans="1:5" s="28" customFormat="1" ht="13.8" x14ac:dyDescent="0.3">
      <c r="A474" s="13" t="s">
        <v>183</v>
      </c>
      <c r="B474" s="14" t="str">
        <f>HYPERLINK("http://apps.fcc.gov/ecfs/document/view?id=7521089108","  (3 pages)")</f>
        <v xml:space="preserve">  (3 pages)</v>
      </c>
      <c r="C474" s="15" t="s">
        <v>855</v>
      </c>
      <c r="D474" s="16"/>
      <c r="E474" s="17" t="s">
        <v>964</v>
      </c>
    </row>
    <row r="475" spans="1:5" s="28" customFormat="1" ht="13.8" x14ac:dyDescent="0.3">
      <c r="A475" s="13" t="s">
        <v>1</v>
      </c>
      <c r="B475" s="14" t="str">
        <f>HYPERLINK("http://apps.fcc.gov/ecfs/document/view?id=7521089395","  (1 page)")</f>
        <v xml:space="preserve">  (1 page)</v>
      </c>
      <c r="C475" s="15" t="s">
        <v>862</v>
      </c>
      <c r="D475" s="16"/>
      <c r="E475" s="17" t="s">
        <v>964</v>
      </c>
    </row>
    <row r="476" spans="1:5" s="28" customFormat="1" ht="13.8" x14ac:dyDescent="0.3">
      <c r="A476" s="13" t="s">
        <v>542</v>
      </c>
      <c r="B476" s="14" t="str">
        <f>HYPERLINK("http://apps.fcc.gov/ecfs/document/view?id=7521080116","Expression of Interest (4 pages)")</f>
        <v>Expression of Interest (4 pages)</v>
      </c>
      <c r="C476" s="15" t="s">
        <v>859</v>
      </c>
      <c r="D476" s="16"/>
      <c r="E476" s="17" t="s">
        <v>965</v>
      </c>
    </row>
    <row r="477" spans="1:5" s="28" customFormat="1" ht="41.4" x14ac:dyDescent="0.3">
      <c r="A477" s="13" t="s">
        <v>182</v>
      </c>
      <c r="B477" s="14" t="str">
        <f>HYPERLINK("http://apps.fcc.gov/ecfs/document/view?id=7521089066","Quileute Tribe Expression of Interest in FCC Rural Broadband Experiments (4 pages)")</f>
        <v>Quileute Tribe Expression of Interest in FCC Rural Broadband Experiments (4 pages)</v>
      </c>
      <c r="C477" s="15" t="s">
        <v>859</v>
      </c>
      <c r="D477" s="16" t="s">
        <v>1026</v>
      </c>
      <c r="E477" s="17" t="s">
        <v>927</v>
      </c>
    </row>
    <row r="478" spans="1:5" s="28" customFormat="1" ht="27.6" x14ac:dyDescent="0.3">
      <c r="A478" s="13" t="s">
        <v>370</v>
      </c>
      <c r="B478" s="14" t="str">
        <f>HYPERLINK("http://apps.fcc.gov/ecfs/document/view?id=7521088730","Rural Experiments Expression of Interest (7 pages)")</f>
        <v>Rural Experiments Expression of Interest (7 pages)</v>
      </c>
      <c r="C478" s="15" t="s">
        <v>866</v>
      </c>
      <c r="D478" s="16" t="s">
        <v>1077</v>
      </c>
      <c r="E478" s="17" t="s">
        <v>2</v>
      </c>
    </row>
    <row r="479" spans="1:5" s="28" customFormat="1" ht="13.8" x14ac:dyDescent="0.3">
      <c r="A479" s="13" t="s">
        <v>299</v>
      </c>
      <c r="B479" s="14" t="str">
        <f>HYPERLINK("http://apps.fcc.gov/ecfs/document/view?id=7521088758","  (1 page)")</f>
        <v xml:space="preserve">  (1 page)</v>
      </c>
      <c r="C479" s="15" t="s">
        <v>862</v>
      </c>
      <c r="D479" s="16" t="s">
        <v>982</v>
      </c>
      <c r="E479" s="17" t="s">
        <v>933</v>
      </c>
    </row>
    <row r="480" spans="1:5" s="28" customFormat="1" ht="27.6" x14ac:dyDescent="0.3">
      <c r="A480" s="13" t="s">
        <v>66</v>
      </c>
      <c r="B480" s="14" t="str">
        <f>HYPERLINK("http://apps.fcc.gov/ecfs/document/view?id=7521089410","Last Mile Broadband Expression of Interest (7 pages)")</f>
        <v>Last Mile Broadband Expression of Interest (7 pages)</v>
      </c>
      <c r="C480" s="15" t="s">
        <v>860</v>
      </c>
      <c r="D480" s="16"/>
      <c r="E480" s="17" t="s">
        <v>937</v>
      </c>
    </row>
    <row r="481" spans="1:5" s="28" customFormat="1" ht="13.8" x14ac:dyDescent="0.3">
      <c r="A481" s="29" t="s">
        <v>701</v>
      </c>
      <c r="B481" s="24" t="str">
        <f>HYPERLINK("http://apps.fcc.gov/ecfs/document/view?id=7521089525","Expression of Interest (2 pages)")</f>
        <v>Expression of Interest (2 pages)</v>
      </c>
      <c r="C481" s="17" t="s">
        <v>859</v>
      </c>
      <c r="D481" s="26"/>
      <c r="E481" s="17" t="s">
        <v>988</v>
      </c>
    </row>
    <row r="482" spans="1:5" s="28" customFormat="1" ht="13.8" x14ac:dyDescent="0.3">
      <c r="A482" s="28" t="s">
        <v>1095</v>
      </c>
      <c r="B482" s="10" t="str">
        <f>HYPERLINK("http://apps.fcc.gov/ecfs/document/view?id=7521092610","Rural BBand Experiment Letter of Interest (2 pages)")</f>
        <v>Rural BBand Experiment Letter of Interest (2 pages)</v>
      </c>
      <c r="C482" s="17" t="s">
        <v>854</v>
      </c>
      <c r="D482" s="29"/>
      <c r="E482" s="17" t="s">
        <v>943</v>
      </c>
    </row>
    <row r="483" spans="1:5" s="28" customFormat="1" ht="13.8" x14ac:dyDescent="0.3">
      <c r="A483" s="28" t="s">
        <v>1094</v>
      </c>
      <c r="B483" s="10" t="str">
        <f>HYPERLINK("http://apps.fcc.gov/ecfs/document/view?id=7521092613","Rural BBand Experiment Letter of Interest (2 pages)")</f>
        <v>Rural BBand Experiment Letter of Interest (2 pages)</v>
      </c>
      <c r="C483" s="17" t="s">
        <v>854</v>
      </c>
      <c r="D483" s="29" t="s">
        <v>1188</v>
      </c>
      <c r="E483" s="17" t="s">
        <v>943</v>
      </c>
    </row>
    <row r="484" spans="1:5" s="28" customFormat="1" ht="27.6" x14ac:dyDescent="0.3">
      <c r="A484" s="13" t="s">
        <v>496</v>
      </c>
      <c r="B484" s="14" t="str">
        <f>HYPERLINK("http://apps.fcc.gov/ecfs/document/view?id=7521087451","Leverett Expression of Interest (8 pages)")</f>
        <v>Leverett Expression of Interest (8 pages)</v>
      </c>
      <c r="C484" s="15" t="s">
        <v>873</v>
      </c>
      <c r="D484" s="16"/>
      <c r="E484" s="17" t="s">
        <v>1002</v>
      </c>
    </row>
    <row r="485" spans="1:5" s="28" customFormat="1" ht="41.4" x14ac:dyDescent="0.3">
      <c r="A485" s="29" t="s">
        <v>706</v>
      </c>
      <c r="B485" s="24" t="str">
        <f>HYPERLINK("http://apps.fcc.gov/ecfs/document/view?id=7521089503","NEXT GENERATION NETWORK EXPERIMENTS IN RURAL AMERICA EXPRESSION OF INTEREST (4 pages)")</f>
        <v>NEXT GENERATION NETWORK EXPERIMENTS IN RURAL AMERICA EXPRESSION OF INTEREST (4 pages)</v>
      </c>
      <c r="C485" s="17" t="s">
        <v>859</v>
      </c>
      <c r="D485" s="26"/>
      <c r="E485" s="17" t="s">
        <v>974</v>
      </c>
    </row>
    <row r="486" spans="1:5" s="28" customFormat="1" ht="13.8" x14ac:dyDescent="0.3">
      <c r="A486" s="29" t="s">
        <v>700</v>
      </c>
      <c r="B486" s="24" t="str">
        <f>HYPERLINK("http://apps.fcc.gov/ecfs/document/view?id=7521089475","  (3 pages)")</f>
        <v xml:space="preserve">  (3 pages)</v>
      </c>
      <c r="C486" s="17" t="s">
        <v>855</v>
      </c>
      <c r="D486" s="26"/>
      <c r="E486" s="17" t="s">
        <v>944</v>
      </c>
    </row>
    <row r="487" spans="1:5" s="28" customFormat="1" ht="13.8" x14ac:dyDescent="0.3">
      <c r="A487" s="13" t="s">
        <v>180</v>
      </c>
      <c r="B487" s="14" t="str">
        <f>HYPERLINK("http://apps.fcc.gov/ecfs/document/view?id=7521089196","Rural Broadband Experiment (2 pages)")</f>
        <v>Rural Broadband Experiment (2 pages)</v>
      </c>
      <c r="C487" s="15" t="s">
        <v>854</v>
      </c>
      <c r="D487" s="16"/>
      <c r="E487" s="17" t="s">
        <v>969</v>
      </c>
    </row>
    <row r="488" spans="1:5" s="28" customFormat="1" ht="13.8" x14ac:dyDescent="0.3">
      <c r="A488" s="13" t="s">
        <v>372</v>
      </c>
      <c r="B488" s="14" t="str">
        <f>HYPERLINK("http://apps.fcc.gov/ecfs/document/view?id=7521088650","  (3 pages)")</f>
        <v xml:space="preserve">  (3 pages)</v>
      </c>
      <c r="C488" s="15" t="s">
        <v>855</v>
      </c>
      <c r="D488" s="16"/>
      <c r="E488" s="17" t="s">
        <v>935</v>
      </c>
    </row>
    <row r="489" spans="1:5" s="28" customFormat="1" ht="13.8" x14ac:dyDescent="0.3">
      <c r="A489" s="29" t="s">
        <v>902</v>
      </c>
      <c r="B489" s="24" t="str">
        <f>HYPERLINK("http://apps.fcc.gov/ecfs/document/view?id=7521090346","  (2 pages)")</f>
        <v xml:space="preserve">  (2 pages)</v>
      </c>
      <c r="C489" s="30" t="s">
        <v>854</v>
      </c>
      <c r="D489" s="26"/>
      <c r="E489" s="17" t="s">
        <v>926</v>
      </c>
    </row>
    <row r="490" spans="1:5" s="28" customFormat="1" ht="13.8" x14ac:dyDescent="0.3">
      <c r="A490" s="13" t="s">
        <v>298</v>
      </c>
      <c r="B490" s="14" t="str">
        <f>HYPERLINK("http://apps.fcc.gov/ecfs/document/view?id=7521088977","  (2 pages)")</f>
        <v xml:space="preserve">  (2 pages)</v>
      </c>
      <c r="C490" s="15" t="s">
        <v>854</v>
      </c>
      <c r="D490" s="16"/>
      <c r="E490" s="17" t="s">
        <v>938</v>
      </c>
    </row>
    <row r="491" spans="1:5" s="28" customFormat="1" ht="13.8" x14ac:dyDescent="0.3">
      <c r="A491" s="13" t="s">
        <v>298</v>
      </c>
      <c r="B491" s="14" t="str">
        <f>HYPERLINK("http://apps.fcc.gov/ecfs/document/view?id=7521088967","  (2 pages)")</f>
        <v xml:space="preserve">  (2 pages)</v>
      </c>
      <c r="C491" s="15" t="s">
        <v>854</v>
      </c>
      <c r="D491" s="16"/>
      <c r="E491" s="17"/>
    </row>
    <row r="492" spans="1:5" s="28" customFormat="1" ht="13.8" x14ac:dyDescent="0.3">
      <c r="A492" s="13" t="s">
        <v>179</v>
      </c>
      <c r="B492" s="14" t="str">
        <f>HYPERLINK("http://apps.fcc.gov/ecfs/document/view?id=7521089054","Expression of Interest (2 pages)")</f>
        <v>Expression of Interest (2 pages)</v>
      </c>
      <c r="C492" s="15" t="s">
        <v>854</v>
      </c>
      <c r="D492" s="16"/>
      <c r="E492" s="17" t="s">
        <v>926</v>
      </c>
    </row>
    <row r="493" spans="1:5" s="28" customFormat="1" ht="27.6" x14ac:dyDescent="0.3">
      <c r="A493" s="13" t="s">
        <v>65</v>
      </c>
      <c r="B493" s="14" t="str">
        <f>HYPERLINK("http://apps.fcc.gov/ecfs/document/view?id=7521089304","LocalTel Comm Rural Broadband Expression of Interest (3 pages)")</f>
        <v>LocalTel Comm Rural Broadband Expression of Interest (3 pages)</v>
      </c>
      <c r="C493" s="15" t="s">
        <v>855</v>
      </c>
      <c r="D493" s="16"/>
      <c r="E493" s="17" t="s">
        <v>927</v>
      </c>
    </row>
    <row r="494" spans="1:5" s="28" customFormat="1" ht="13.8" x14ac:dyDescent="0.3">
      <c r="A494" s="29" t="s">
        <v>699</v>
      </c>
      <c r="B494" s="24" t="str">
        <f>HYPERLINK("http://apps.fcc.gov/ecfs/document/view?id=7521089610","Expression of Interest Letter (2 pages)")</f>
        <v>Expression of Interest Letter (2 pages)</v>
      </c>
      <c r="C494" s="17" t="s">
        <v>854</v>
      </c>
      <c r="D494" s="26"/>
      <c r="E494" s="17" t="s">
        <v>1006</v>
      </c>
    </row>
    <row r="495" spans="1:5" s="28" customFormat="1" ht="13.8" x14ac:dyDescent="0.3">
      <c r="A495" s="28" t="s">
        <v>1151</v>
      </c>
      <c r="B495" s="10" t="str">
        <f>HYPERLINK("http://apps.fcc.gov/ecfs/document/view?id=7521094558","  (3 pages)")</f>
        <v xml:space="preserve">  (3 pages)</v>
      </c>
      <c r="C495" s="17" t="s">
        <v>856</v>
      </c>
      <c r="D495" s="29"/>
      <c r="E495" s="17" t="s">
        <v>973</v>
      </c>
    </row>
    <row r="496" spans="1:5" s="28" customFormat="1" ht="41.4" x14ac:dyDescent="0.3">
      <c r="A496" s="29" t="s">
        <v>698</v>
      </c>
      <c r="B496" s="24" t="str">
        <f>HYPERLINK("http://apps.fcc.gov/ecfs/document/view?id=7521089519","Commonwealth of Kentucky WC Docket 10 90 Expression of Interest (6 pages)")</f>
        <v>Commonwealth of Kentucky WC Docket 10 90 Expression of Interest (6 pages)</v>
      </c>
      <c r="C496" s="17" t="s">
        <v>856</v>
      </c>
      <c r="D496" s="26" t="s">
        <v>1223</v>
      </c>
      <c r="E496" s="17" t="s">
        <v>938</v>
      </c>
    </row>
    <row r="497" spans="1:5" s="28" customFormat="1" ht="13.8" x14ac:dyDescent="0.3">
      <c r="A497" s="29" t="s">
        <v>705</v>
      </c>
      <c r="B497" s="24" t="str">
        <f>HYPERLINK("http://apps.fcc.gov/ecfs/document/view?id=7521089639","  (3 pages)")</f>
        <v xml:space="preserve">  (3 pages)</v>
      </c>
      <c r="C497" s="17" t="s">
        <v>855</v>
      </c>
      <c r="D497" s="26"/>
      <c r="E497" s="17" t="s">
        <v>924</v>
      </c>
    </row>
    <row r="498" spans="1:5" s="28" customFormat="1" ht="13.8" x14ac:dyDescent="0.3">
      <c r="A498" s="29" t="s">
        <v>704</v>
      </c>
      <c r="B498" s="24" t="str">
        <f>HYPERLINK("http://apps.fcc.gov/ecfs/document/view?id=7521089725","Expression of Interest (6 pages)")</f>
        <v>Expression of Interest (6 pages)</v>
      </c>
      <c r="C498" s="17" t="s">
        <v>885</v>
      </c>
      <c r="D498" s="26"/>
      <c r="E498" s="17" t="s">
        <v>1224</v>
      </c>
    </row>
    <row r="499" spans="1:5" s="28" customFormat="1" ht="13.8" x14ac:dyDescent="0.3">
      <c r="A499" s="13" t="s">
        <v>64</v>
      </c>
      <c r="B499" s="14" t="str">
        <f>HYPERLINK("http://apps.fcc.gov/ecfs/document/view?id=7521089457","Expression of Interest (3 pages)")</f>
        <v>Expression of Interest (3 pages)</v>
      </c>
      <c r="C499" s="15" t="s">
        <v>855</v>
      </c>
      <c r="D499" s="16" t="s">
        <v>1144</v>
      </c>
      <c r="E499" s="17" t="s">
        <v>2</v>
      </c>
    </row>
    <row r="500" spans="1:5" s="28" customFormat="1" ht="27.6" x14ac:dyDescent="0.3">
      <c r="A500" s="29" t="s">
        <v>64</v>
      </c>
      <c r="B500" s="24" t="str">
        <f>HYPERLINK("http://apps.fcc.gov/ecfs/document/view?id=7521089743","Community Advocate Expression of Interest (1 page)")</f>
        <v>Community Advocate Expression of Interest (1 page)</v>
      </c>
      <c r="C500" s="17" t="s">
        <v>862</v>
      </c>
      <c r="D500" s="26"/>
      <c r="E500" s="17" t="s">
        <v>960</v>
      </c>
    </row>
    <row r="501" spans="1:5" s="28" customFormat="1" ht="27.6" x14ac:dyDescent="0.3">
      <c r="A501" s="29" t="s">
        <v>703</v>
      </c>
      <c r="B501" s="24" t="str">
        <f>HYPERLINK("http://apps.fcc.gov/ecfs/document/view?id=7521089889","LV Net Expression of Interest (3 pages)")</f>
        <v>LV Net Expression of Interest (3 pages)</v>
      </c>
      <c r="C501" s="17" t="s">
        <v>859</v>
      </c>
      <c r="D501" s="26"/>
      <c r="E501" s="17" t="s">
        <v>1020</v>
      </c>
    </row>
    <row r="502" spans="1:5" s="28" customFormat="1" ht="27.6" x14ac:dyDescent="0.3">
      <c r="A502" s="13" t="s">
        <v>178</v>
      </c>
      <c r="B502" s="14" t="str">
        <f>HYPERLINK("http://apps.fcc.gov/ecfs/document/view?id=7521089085","Rural Broadband Experiment Expression of Interest (1 page)")</f>
        <v>Rural Broadband Experiment Expression of Interest (1 page)</v>
      </c>
      <c r="C502" s="15" t="s">
        <v>862</v>
      </c>
      <c r="D502" s="16" t="s">
        <v>1025</v>
      </c>
      <c r="E502" s="17" t="s">
        <v>942</v>
      </c>
    </row>
    <row r="503" spans="1:5" s="28" customFormat="1" ht="13.8" x14ac:dyDescent="0.3">
      <c r="A503" s="13" t="s">
        <v>63</v>
      </c>
      <c r="B503" s="14" t="str">
        <f>HYPERLINK("http://apps.fcc.gov/ecfs/document/view?id=7521089286","Expression of Interest (15 pages)")</f>
        <v>Expression of Interest (15 pages)</v>
      </c>
      <c r="C503" s="15" t="s">
        <v>869</v>
      </c>
      <c r="D503" s="16"/>
      <c r="E503" s="17" t="s">
        <v>943</v>
      </c>
    </row>
    <row r="504" spans="1:5" s="28" customFormat="1" ht="13.8" x14ac:dyDescent="0.3">
      <c r="A504" s="13" t="s">
        <v>60</v>
      </c>
      <c r="B504" s="14" t="str">
        <f>HYPERLINK("http://apps.fcc.gov/ecfs/document/view?id=7521089311","Letter of Interest (3 pages)")</f>
        <v>Letter of Interest (3 pages)</v>
      </c>
      <c r="C504" s="15" t="s">
        <v>855</v>
      </c>
      <c r="D504" s="16"/>
      <c r="E504" s="17" t="s">
        <v>959</v>
      </c>
    </row>
    <row r="505" spans="1:5" s="28" customFormat="1" ht="13.8" x14ac:dyDescent="0.3">
      <c r="A505" s="13" t="s">
        <v>297</v>
      </c>
      <c r="B505" s="14" t="str">
        <f>HYPERLINK("http://apps.fcc.gov/ecfs/document/view?id=7521088957","  (2 pages)")</f>
        <v xml:space="preserve">  (2 pages)</v>
      </c>
      <c r="C505" s="15" t="s">
        <v>854</v>
      </c>
      <c r="D505" s="16"/>
      <c r="E505" s="17" t="s">
        <v>929</v>
      </c>
    </row>
    <row r="506" spans="1:5" s="28" customFormat="1" ht="13.8" x14ac:dyDescent="0.3">
      <c r="A506" s="13" t="s">
        <v>297</v>
      </c>
      <c r="B506" s="14" t="str">
        <f>HYPERLINK("http://apps.fcc.gov/ecfs/document/view?id=7521088956","  (2 pages)")</f>
        <v xml:space="preserve">  (2 pages)</v>
      </c>
      <c r="C506" s="15" t="s">
        <v>854</v>
      </c>
      <c r="D506" s="16"/>
      <c r="E506" s="17" t="s">
        <v>929</v>
      </c>
    </row>
    <row r="507" spans="1:5" s="28" customFormat="1" ht="13.8" x14ac:dyDescent="0.3">
      <c r="A507" s="13" t="s">
        <v>59</v>
      </c>
      <c r="B507" s="14" t="str">
        <f>HYPERLINK("http://apps.fcc.gov/ecfs/document/view?id=7521089274","StarLink Cable EoI (6 pages)")</f>
        <v>StarLink Cable EoI (6 pages)</v>
      </c>
      <c r="C507" s="15" t="s">
        <v>856</v>
      </c>
      <c r="D507" s="16" t="s">
        <v>1143</v>
      </c>
      <c r="E507" s="17" t="s">
        <v>989</v>
      </c>
    </row>
    <row r="508" spans="1:5" s="28" customFormat="1" ht="27.6" x14ac:dyDescent="0.3">
      <c r="A508" s="29" t="s">
        <v>59</v>
      </c>
      <c r="B508" s="24" t="str">
        <f>HYPERLINK("http://apps.fcc.gov/ecfs/document/view?id=7521089917","Northern Arapaho Tribal Industries (6 pages)")</f>
        <v>Northern Arapaho Tribal Industries (6 pages)</v>
      </c>
      <c r="C508" s="17" t="s">
        <v>856</v>
      </c>
      <c r="D508" s="26"/>
      <c r="E508" s="17" t="s">
        <v>958</v>
      </c>
    </row>
    <row r="509" spans="1:5" s="28" customFormat="1" ht="13.8" x14ac:dyDescent="0.3">
      <c r="A509" s="29" t="s">
        <v>59</v>
      </c>
      <c r="B509" s="24" t="str">
        <f>HYPERLINK("http://apps.fcc.gov/ecfs/document/view?id=7521092024","  (6 pages)")</f>
        <v xml:space="preserve">  (6 pages)</v>
      </c>
      <c r="C509" s="30" t="s">
        <v>856</v>
      </c>
      <c r="D509" s="26" t="s">
        <v>1157</v>
      </c>
      <c r="E509" s="17" t="s">
        <v>935</v>
      </c>
    </row>
    <row r="510" spans="1:5" s="28" customFormat="1" ht="13.8" x14ac:dyDescent="0.3">
      <c r="A510" s="29" t="s">
        <v>694</v>
      </c>
      <c r="B510" s="24" t="str">
        <f>HYPERLINK("http://apps.fcc.gov/ecfs/document/view?id=7521089755"," (1 page)")</f>
        <v xml:space="preserve"> (1 page)</v>
      </c>
      <c r="C510" s="17" t="s">
        <v>862</v>
      </c>
      <c r="D510" s="26"/>
      <c r="E510" s="17"/>
    </row>
    <row r="511" spans="1:5" s="28" customFormat="1" ht="13.8" x14ac:dyDescent="0.3">
      <c r="A511" s="29" t="s">
        <v>694</v>
      </c>
      <c r="B511" s="24" t="str">
        <f>HYPERLINK("http://apps.fcc.gov/ecfs/document/view?id=7521090046","  (6 pages)")</f>
        <v xml:space="preserve">  (6 pages)</v>
      </c>
      <c r="C511" s="30" t="s">
        <v>856</v>
      </c>
      <c r="D511" s="26"/>
      <c r="E511" s="17" t="s">
        <v>942</v>
      </c>
    </row>
    <row r="512" spans="1:5" s="28" customFormat="1" ht="13.8" x14ac:dyDescent="0.3">
      <c r="A512" s="29" t="s">
        <v>693</v>
      </c>
      <c r="B512" s="24" t="str">
        <f>HYPERLINK("http://apps.fcc.gov/ecfs/document/view?id=7521089578","  (4 pages)")</f>
        <v xml:space="preserve">  (4 pages)</v>
      </c>
      <c r="C512" s="17" t="s">
        <v>859</v>
      </c>
      <c r="D512" s="26"/>
      <c r="E512" s="17" t="s">
        <v>961</v>
      </c>
    </row>
    <row r="513" spans="1:5" s="28" customFormat="1" ht="13.8" x14ac:dyDescent="0.3">
      <c r="A513" s="29" t="s">
        <v>692</v>
      </c>
      <c r="B513" s="24" t="str">
        <f>HYPERLINK("http://apps.fcc.gov/ecfs/document/view?id=7521089940","  (11 pages)")</f>
        <v xml:space="preserve">  (11 pages)</v>
      </c>
      <c r="C513" s="17" t="s">
        <v>876</v>
      </c>
      <c r="D513" s="26"/>
      <c r="E513" s="17" t="s">
        <v>927</v>
      </c>
    </row>
    <row r="514" spans="1:5" s="28" customFormat="1" ht="27.6" x14ac:dyDescent="0.3">
      <c r="A514" s="13" t="s">
        <v>296</v>
      </c>
      <c r="B514" s="14" t="str">
        <f>HYPERLINK("http://apps.fcc.gov/ecfs/document/view?id=7521088840","Rural BBand Experiment Letter of Interest (2 pages)")</f>
        <v>Rural BBand Experiment Letter of Interest (2 pages)</v>
      </c>
      <c r="C514" s="15" t="s">
        <v>854</v>
      </c>
      <c r="D514" s="16"/>
      <c r="E514" s="17" t="s">
        <v>972</v>
      </c>
    </row>
    <row r="515" spans="1:5" s="28" customFormat="1" ht="27.6" x14ac:dyDescent="0.3">
      <c r="A515" s="13" t="s">
        <v>58</v>
      </c>
      <c r="B515" s="14" t="str">
        <f>HYPERLINK("http://apps.fcc.gov/ecfs/document/view?id=7521089439","  (1 page)")</f>
        <v xml:space="preserve">  (1 page)</v>
      </c>
      <c r="C515" s="15" t="s">
        <v>862</v>
      </c>
      <c r="D515" s="16" t="s">
        <v>1142</v>
      </c>
      <c r="E515" s="17" t="s">
        <v>927</v>
      </c>
    </row>
    <row r="516" spans="1:5" s="28" customFormat="1" ht="13.8" x14ac:dyDescent="0.3">
      <c r="A516" s="29" t="s">
        <v>691</v>
      </c>
      <c r="B516" s="24" t="str">
        <f>HYPERLINK("http://apps.fcc.gov/ecfs/document/view?id=7521089587","Dinwiddie County VA (5 pages)")</f>
        <v>Dinwiddie County VA (5 pages)</v>
      </c>
      <c r="C516" s="17" t="s">
        <v>857</v>
      </c>
      <c r="D516" s="26"/>
      <c r="E516" s="17" t="s">
        <v>932</v>
      </c>
    </row>
    <row r="517" spans="1:5" s="28" customFormat="1" ht="13.8" x14ac:dyDescent="0.3">
      <c r="A517" s="13" t="s">
        <v>177</v>
      </c>
      <c r="B517" s="14" t="str">
        <f>HYPERLINK("http://apps.fcc.gov/ecfs/document/view?id=7521089168"," (2 pages)")</f>
        <v xml:space="preserve"> (2 pages)</v>
      </c>
      <c r="C517" s="15" t="s">
        <v>854</v>
      </c>
      <c r="D517" s="16" t="s">
        <v>1024</v>
      </c>
      <c r="E517" s="17" t="s">
        <v>928</v>
      </c>
    </row>
    <row r="518" spans="1:5" s="28" customFormat="1" ht="13.8" x14ac:dyDescent="0.3">
      <c r="A518" s="13" t="s">
        <v>57</v>
      </c>
      <c r="B518" s="14" t="str">
        <f>HYPERLINK("http://apps.fcc.gov/ecfs/document/view?id=7521089309","Letter of Interest (3 pages)")</f>
        <v>Letter of Interest (3 pages)</v>
      </c>
      <c r="C518" s="15" t="s">
        <v>855</v>
      </c>
      <c r="D518" s="16" t="s">
        <v>1140</v>
      </c>
      <c r="E518" s="17" t="s">
        <v>930</v>
      </c>
    </row>
    <row r="519" spans="1:5" s="28" customFormat="1" ht="13.8" x14ac:dyDescent="0.3">
      <c r="A519" s="13" t="s">
        <v>57</v>
      </c>
      <c r="B519" s="14" t="str">
        <f>HYPERLINK("http://apps.fcc.gov/ecfs/document/view?id=7521089260","Letter of Interest (3 pages)")</f>
        <v>Letter of Interest (3 pages)</v>
      </c>
      <c r="C519" s="15" t="s">
        <v>855</v>
      </c>
      <c r="D519" s="16" t="s">
        <v>1141</v>
      </c>
      <c r="E519" s="17" t="s">
        <v>930</v>
      </c>
    </row>
    <row r="520" spans="1:5" s="28" customFormat="1" ht="13.8" x14ac:dyDescent="0.3">
      <c r="A520" s="13" t="s">
        <v>176</v>
      </c>
      <c r="B520" s="14" t="str">
        <f>HYPERLINK("http://apps.fcc.gov/ecfs/document/view?id=7521089176","  (2 pages)")</f>
        <v xml:space="preserve">  (2 pages)</v>
      </c>
      <c r="C520" s="15" t="s">
        <v>854</v>
      </c>
      <c r="D520" s="16" t="s">
        <v>1023</v>
      </c>
      <c r="E520" s="17" t="s">
        <v>1020</v>
      </c>
    </row>
    <row r="521" spans="1:5" s="28" customFormat="1" ht="13.8" x14ac:dyDescent="0.3">
      <c r="A521" s="29" t="s">
        <v>690</v>
      </c>
      <c r="B521" s="24" t="str">
        <f>HYPERLINK("http://apps.fcc.gov/ecfs/document/view?id=7521089479","Expression of Interest (3 pages)")</f>
        <v>Expression of Interest (3 pages)</v>
      </c>
      <c r="C521" s="17" t="s">
        <v>855</v>
      </c>
      <c r="D521" s="26" t="s">
        <v>1137</v>
      </c>
      <c r="E521" s="17" t="s">
        <v>935</v>
      </c>
    </row>
    <row r="522" spans="1:5" s="28" customFormat="1" ht="27.6" x14ac:dyDescent="0.3">
      <c r="A522" s="13" t="s">
        <v>417</v>
      </c>
      <c r="B522" s="14" t="str">
        <f>HYPERLINK("http://apps.fcc.gov/ecfs/document/view?id=7521088596","Broadband Experiment Letter (2 pages)")</f>
        <v>Broadband Experiment Letter (2 pages)</v>
      </c>
      <c r="C522" s="15" t="s">
        <v>854</v>
      </c>
      <c r="D522" s="16"/>
      <c r="E522" s="17" t="s">
        <v>2</v>
      </c>
    </row>
    <row r="523" spans="1:5" s="28" customFormat="1" ht="41.4" x14ac:dyDescent="0.3">
      <c r="A523" s="13" t="s">
        <v>332</v>
      </c>
      <c r="B523" s="14" t="str">
        <f>HYPERLINK("http://apps.fcc.gov/ecfs/document/view?id=7521088685","Additional support letter for Broadband Corp FCC rural experiment  (2 pages)")</f>
        <v>Additional support letter for Broadband Corp FCC rural experiment  (2 pages)</v>
      </c>
      <c r="C523" s="15" t="s">
        <v>854</v>
      </c>
      <c r="D523" s="16" t="s">
        <v>993</v>
      </c>
      <c r="E523" s="17" t="s">
        <v>964</v>
      </c>
    </row>
    <row r="524" spans="1:5" s="28" customFormat="1" ht="13.8" x14ac:dyDescent="0.3">
      <c r="A524" s="13" t="s">
        <v>494</v>
      </c>
      <c r="B524" s="14" t="str">
        <f>HYPERLINK("http://apps.fcc.gov/ecfs/document/view?id=7521088073","  (8 pages)")</f>
        <v xml:space="preserve">  (8 pages)</v>
      </c>
      <c r="C524" s="15" t="s">
        <v>873</v>
      </c>
      <c r="D524" s="16" t="s">
        <v>993</v>
      </c>
      <c r="E524" s="17" t="s">
        <v>964</v>
      </c>
    </row>
    <row r="525" spans="1:5" s="28" customFormat="1" ht="13.8" x14ac:dyDescent="0.3">
      <c r="A525" s="13" t="s">
        <v>493</v>
      </c>
      <c r="B525" s="14" t="str">
        <f>HYPERLINK("http://apps.fcc.gov/ecfs/document/view?id=7521088127","Expression of Interest Letter (2 pages)")</f>
        <v>Expression of Interest Letter (2 pages)</v>
      </c>
      <c r="C525" s="15" t="s">
        <v>854</v>
      </c>
      <c r="D525" s="16"/>
      <c r="E525" s="17" t="s">
        <v>935</v>
      </c>
    </row>
    <row r="526" spans="1:5" s="28" customFormat="1" ht="27.6" x14ac:dyDescent="0.3">
      <c r="A526" s="29" t="s">
        <v>689</v>
      </c>
      <c r="B526" s="31" t="str">
        <f>HYPERLINK("http://apps.fcc.gov/ecfs/document/view?id=7521089859","Independence Telecommunications (2 pages)")</f>
        <v>Independence Telecommunications (2 pages)</v>
      </c>
      <c r="C526" s="17" t="s">
        <v>854</v>
      </c>
      <c r="D526" s="26" t="s">
        <v>1136</v>
      </c>
      <c r="E526" s="17" t="s">
        <v>935</v>
      </c>
    </row>
    <row r="527" spans="1:5" s="28" customFormat="1" ht="13.8" x14ac:dyDescent="0.3">
      <c r="A527" s="13" t="s">
        <v>56</v>
      </c>
      <c r="B527" s="14" t="str">
        <f>HYPERLINK("http://apps.fcc.gov/ecfs/document/view?id=7521089312","  (4 pages)")</f>
        <v xml:space="preserve">  (4 pages)</v>
      </c>
      <c r="C527" s="15" t="s">
        <v>859</v>
      </c>
      <c r="D527" s="16"/>
      <c r="E527" s="17" t="s">
        <v>933</v>
      </c>
    </row>
    <row r="528" spans="1:5" s="28" customFormat="1" ht="13.8" x14ac:dyDescent="0.3">
      <c r="A528" s="13" t="s">
        <v>55</v>
      </c>
      <c r="B528" s="14" t="str">
        <f>HYPERLINK("http://apps.fcc.gov/ecfs/document/view?id=7521089307","  (3 pages)")</f>
        <v xml:space="preserve">  (3 pages)</v>
      </c>
      <c r="C528" s="15" t="s">
        <v>855</v>
      </c>
      <c r="D528" s="16"/>
      <c r="E528" s="17" t="s">
        <v>979</v>
      </c>
    </row>
    <row r="529" spans="1:5" s="28" customFormat="1" ht="13.8" x14ac:dyDescent="0.3">
      <c r="A529" s="13" t="s">
        <v>443</v>
      </c>
      <c r="B529" s="14" t="str">
        <f>HYPERLINK("http://apps.fcc.gov/ecfs/document/view?id=7521088445","Expression of Interest (2 pages)")</f>
        <v>Expression of Interest (2 pages)</v>
      </c>
      <c r="C529" s="15" t="s">
        <v>854</v>
      </c>
      <c r="D529" s="16"/>
      <c r="E529" s="17" t="s">
        <v>932</v>
      </c>
    </row>
    <row r="530" spans="1:5" s="28" customFormat="1" ht="13.8" x14ac:dyDescent="0.3">
      <c r="A530" s="13" t="s">
        <v>295</v>
      </c>
      <c r="B530" s="14" t="str">
        <f>HYPERLINK("http://apps.fcc.gov/ecfs/document/view?id=7521088919","  (3 pages)")</f>
        <v xml:space="preserve">  (3 pages)</v>
      </c>
      <c r="C530" s="15" t="s">
        <v>855</v>
      </c>
      <c r="D530" s="16"/>
      <c r="E530" s="17" t="s">
        <v>2</v>
      </c>
    </row>
    <row r="531" spans="1:5" s="28" customFormat="1" ht="13.8" x14ac:dyDescent="0.3">
      <c r="A531" s="29" t="s">
        <v>697</v>
      </c>
      <c r="B531" s="24" t="str">
        <f>HYPERLINK("http://apps.fcc.gov/ecfs/document/view?id=7521089732","Letter of Interest (2 pages)")</f>
        <v>Letter of Interest (2 pages)</v>
      </c>
      <c r="C531" s="17" t="s">
        <v>854</v>
      </c>
      <c r="D531" s="26"/>
      <c r="E531" s="17" t="s">
        <v>959</v>
      </c>
    </row>
    <row r="532" spans="1:5" s="28" customFormat="1" ht="13.8" x14ac:dyDescent="0.3">
      <c r="A532" s="13" t="s">
        <v>294</v>
      </c>
      <c r="B532" s="14" t="str">
        <f>HYPERLINK("http://apps.fcc.gov/ecfs/document/view?id=7521088770","  (2 pages)")</f>
        <v xml:space="preserve">  (2 pages)</v>
      </c>
      <c r="C532" s="15" t="s">
        <v>854</v>
      </c>
      <c r="D532" s="16"/>
      <c r="E532" s="17" t="s">
        <v>933</v>
      </c>
    </row>
    <row r="533" spans="1:5" s="28" customFormat="1" ht="27.6" x14ac:dyDescent="0.3">
      <c r="A533" s="13" t="s">
        <v>293</v>
      </c>
      <c r="B533" s="14" t="str">
        <f>HYPERLINK("http://apps.fcc.gov/ecfs/document/view?id=7521088775","Rural BBand Experiment Letter of Interest (2 pages)")</f>
        <v>Rural BBand Experiment Letter of Interest (2 pages)</v>
      </c>
      <c r="C533" s="15" t="s">
        <v>854</v>
      </c>
      <c r="D533" s="16"/>
      <c r="E533" s="17" t="s">
        <v>959</v>
      </c>
    </row>
    <row r="534" spans="1:5" s="28" customFormat="1" ht="27.6" x14ac:dyDescent="0.3">
      <c r="A534" s="13" t="s">
        <v>292</v>
      </c>
      <c r="B534" s="14" t="str">
        <f>HYPERLINK("http://apps.fcc.gov/ecfs/document/view?id=7521088781","Expression of intrest Rural Trials (2 pages)")</f>
        <v>Expression of intrest Rural Trials (2 pages)</v>
      </c>
      <c r="C534" s="15" t="s">
        <v>854</v>
      </c>
      <c r="D534" s="16"/>
      <c r="E534" s="17" t="s">
        <v>964</v>
      </c>
    </row>
    <row r="535" spans="1:5" s="28" customFormat="1" ht="13.8" x14ac:dyDescent="0.3">
      <c r="A535" s="13" t="s">
        <v>62</v>
      </c>
      <c r="B535" s="14" t="str">
        <f>HYPERLINK("http://apps.fcc.gov/ecfs/document/view?id=7521089256","  (18 pages)")</f>
        <v xml:space="preserve">  (18 pages)</v>
      </c>
      <c r="C535" s="15" t="s">
        <v>858</v>
      </c>
      <c r="D535" s="16"/>
      <c r="E535" s="17" t="s">
        <v>924</v>
      </c>
    </row>
    <row r="536" spans="1:5" s="28" customFormat="1" ht="27.6" x14ac:dyDescent="0.3">
      <c r="A536" s="29" t="s">
        <v>688</v>
      </c>
      <c r="B536" s="24" t="str">
        <f>HYPERLINK("http://apps.fcc.gov/ecfs/document/view?id=7521089654","Expression of Interest (7 pages)")</f>
        <v>Expression of Interest (7 pages)</v>
      </c>
      <c r="C536" s="17" t="s">
        <v>866</v>
      </c>
      <c r="D536" s="26"/>
      <c r="E536" s="17" t="s">
        <v>935</v>
      </c>
    </row>
    <row r="537" spans="1:5" s="28" customFormat="1" ht="27.6" x14ac:dyDescent="0.3">
      <c r="A537" s="29" t="s">
        <v>688</v>
      </c>
      <c r="B537" s="24" t="str">
        <f>HYPERLINK("http://apps.fcc.gov/ecfs/document/view?id=7521090091","Expression of Interest Erratum  (10 pages)")</f>
        <v>Expression of Interest Erratum  (10 pages)</v>
      </c>
      <c r="C537" s="30" t="s">
        <v>877</v>
      </c>
      <c r="D537" s="26"/>
      <c r="E537" s="17" t="s">
        <v>935</v>
      </c>
    </row>
    <row r="538" spans="1:5" s="28" customFormat="1" ht="13.8" x14ac:dyDescent="0.3">
      <c r="A538" s="29" t="s">
        <v>895</v>
      </c>
      <c r="B538" s="24" t="str">
        <f>HYPERLINK("http://apps.fcc.gov/ecfs/document/view?id=7521091518","  (3 pages)")</f>
        <v xml:space="preserve">  (3 pages)</v>
      </c>
      <c r="C538" s="30" t="s">
        <v>855</v>
      </c>
      <c r="D538" s="26"/>
      <c r="E538" s="17" t="s">
        <v>965</v>
      </c>
    </row>
    <row r="539" spans="1:5" s="28" customFormat="1" ht="13.8" x14ac:dyDescent="0.3">
      <c r="A539" s="13" t="s">
        <v>543</v>
      </c>
      <c r="B539" s="14" t="str">
        <f>HYPERLINK("http://apps.fcc.gov/ecfs/document/view?id=7521079240","  (1 page)")</f>
        <v xml:space="preserve">  (1 page)</v>
      </c>
      <c r="C539" s="15" t="s">
        <v>862</v>
      </c>
      <c r="D539" s="16"/>
      <c r="E539" s="17" t="s">
        <v>961</v>
      </c>
    </row>
    <row r="540" spans="1:5" s="28" customFormat="1" ht="13.8" x14ac:dyDescent="0.3">
      <c r="A540" s="28" t="s">
        <v>1109</v>
      </c>
      <c r="B540" s="10" t="str">
        <f>HYPERLINK("http://apps.fcc.gov/ecfs/document/view?id=7521093583","Merit Network s Expression of Interest Rural Broadband Experiments (3 pages)")</f>
        <v>Merit Network s Expression of Interest Rural Broadband Experiments (3 pages)</v>
      </c>
      <c r="C540" s="17" t="s">
        <v>855</v>
      </c>
      <c r="D540" s="29"/>
      <c r="E540" s="17" t="s">
        <v>943</v>
      </c>
    </row>
    <row r="541" spans="1:5" s="28" customFormat="1" ht="27.6" x14ac:dyDescent="0.3">
      <c r="A541" s="13" t="s">
        <v>442</v>
      </c>
      <c r="B541" s="14" t="str">
        <f>HYPERLINK("http://apps.fcc.gov/ecfs/document/view?id=7521088386","Rural Trials Expression of Interest (4 pages)")</f>
        <v>Rural Trials Expression of Interest (4 pages)</v>
      </c>
      <c r="C541" s="15" t="s">
        <v>859</v>
      </c>
      <c r="D541" s="16"/>
      <c r="E541" s="17" t="s">
        <v>973</v>
      </c>
    </row>
    <row r="542" spans="1:5" s="28" customFormat="1" ht="16.8" customHeight="1" x14ac:dyDescent="0.3">
      <c r="A542" s="13" t="s">
        <v>369</v>
      </c>
      <c r="B542" s="14" t="str">
        <f>HYPERLINK("http://apps.fcc.gov/ecfs/document/view?id=7521088662","  (2 pages)")</f>
        <v xml:space="preserve">  (2 pages)</v>
      </c>
      <c r="C542" s="15" t="s">
        <v>854</v>
      </c>
      <c r="D542" s="16"/>
      <c r="E542" s="17" t="s">
        <v>988</v>
      </c>
    </row>
    <row r="543" spans="1:5" s="28" customFormat="1" ht="13.8" x14ac:dyDescent="0.3">
      <c r="A543" s="13" t="s">
        <v>61</v>
      </c>
      <c r="B543" s="14" t="str">
        <f>HYPERLINK("http://apps.fcc.gov/ecfs/document/view?id=7521089257","Letter of Interest (2 pages)")</f>
        <v>Letter of Interest (2 pages)</v>
      </c>
      <c r="C543" s="15" t="s">
        <v>854</v>
      </c>
      <c r="D543" s="16"/>
      <c r="E543" s="17" t="s">
        <v>963</v>
      </c>
    </row>
    <row r="544" spans="1:5" s="28" customFormat="1" ht="27.6" x14ac:dyDescent="0.3">
      <c r="A544" s="29" t="s">
        <v>687</v>
      </c>
      <c r="B544" s="24" t="str">
        <f>HYPERLINK("http://apps.fcc.gov/ecfs/document/view?id=7521089647","Docket 10 90 Expression of Interest for Broadband Experiment (2 pages)")</f>
        <v>Docket 10 90 Expression of Interest for Broadband Experiment (2 pages)</v>
      </c>
      <c r="C544" s="17" t="s">
        <v>854</v>
      </c>
      <c r="D544" s="26" t="s">
        <v>1160</v>
      </c>
      <c r="E544" s="17" t="s">
        <v>964</v>
      </c>
    </row>
    <row r="545" spans="1:5" s="28" customFormat="1" ht="27.6" x14ac:dyDescent="0.3">
      <c r="A545" s="29" t="s">
        <v>687</v>
      </c>
      <c r="B545" s="24" t="str">
        <f>HYPERLINK("http://apps.fcc.gov/ecfs/document/view?id=7521089577","Docket 10 90 Expression of Interest for Broadband Experiment (2 pages)")</f>
        <v>Docket 10 90 Expression of Interest for Broadband Experiment (2 pages)</v>
      </c>
      <c r="C545" s="17" t="s">
        <v>854</v>
      </c>
      <c r="D545" s="26" t="s">
        <v>1160</v>
      </c>
      <c r="E545" s="17" t="s">
        <v>964</v>
      </c>
    </row>
    <row r="546" spans="1:5" s="28" customFormat="1" ht="27.6" x14ac:dyDescent="0.3">
      <c r="A546" s="29" t="s">
        <v>687</v>
      </c>
      <c r="B546" s="24" t="str">
        <f>HYPERLINK("http://apps.fcc.gov/ecfs/document/view?id=7521089569","Docket 10 90 Expression of Interest for Broadband Experiment (2 pages)")</f>
        <v>Docket 10 90 Expression of Interest for Broadband Experiment (2 pages)</v>
      </c>
      <c r="C546" s="17" t="s">
        <v>854</v>
      </c>
      <c r="D546" s="26" t="s">
        <v>1160</v>
      </c>
      <c r="E546" s="17" t="s">
        <v>964</v>
      </c>
    </row>
    <row r="547" spans="1:5" s="28" customFormat="1" ht="27.6" x14ac:dyDescent="0.3">
      <c r="A547" s="29" t="s">
        <v>687</v>
      </c>
      <c r="B547" s="24" t="str">
        <f>HYPERLINK("http://apps.fcc.gov/ecfs/document/view?id=7521089566","Docket 10 90 Expression of Interest for Broadband Experiment (2 pages)")</f>
        <v>Docket 10 90 Expression of Interest for Broadband Experiment (2 pages)</v>
      </c>
      <c r="C547" s="17" t="s">
        <v>854</v>
      </c>
      <c r="D547" s="26" t="s">
        <v>1160</v>
      </c>
      <c r="E547" s="17" t="s">
        <v>964</v>
      </c>
    </row>
    <row r="548" spans="1:5" s="28" customFormat="1" ht="27.6" x14ac:dyDescent="0.3">
      <c r="A548" s="29" t="s">
        <v>687</v>
      </c>
      <c r="B548" s="24" t="str">
        <f>HYPERLINK("http://apps.fcc.gov/ecfs/document/view?id=7521089561","Docket 10 90 Expression of Interest for Broadband Experiment (2 pages)")</f>
        <v>Docket 10 90 Expression of Interest for Broadband Experiment (2 pages)</v>
      </c>
      <c r="C548" s="17" t="s">
        <v>854</v>
      </c>
      <c r="D548" s="26" t="s">
        <v>1160</v>
      </c>
      <c r="E548" s="17" t="s">
        <v>964</v>
      </c>
    </row>
    <row r="549" spans="1:5" s="28" customFormat="1" ht="27.6" x14ac:dyDescent="0.3">
      <c r="A549" s="29" t="s">
        <v>687</v>
      </c>
      <c r="B549" s="24" t="str">
        <f>HYPERLINK("http://apps.fcc.gov/ecfs/document/view?id=7521089559","Docket 10 90 Expression of Interest for Broadband Experiment (2 pages)")</f>
        <v>Docket 10 90 Expression of Interest for Broadband Experiment (2 pages)</v>
      </c>
      <c r="C549" s="17" t="s">
        <v>854</v>
      </c>
      <c r="D549" s="26" t="s">
        <v>1160</v>
      </c>
      <c r="E549" s="17" t="s">
        <v>964</v>
      </c>
    </row>
    <row r="550" spans="1:5" s="28" customFormat="1" ht="27.6" x14ac:dyDescent="0.3">
      <c r="A550" s="29" t="s">
        <v>687</v>
      </c>
      <c r="B550" s="24" t="str">
        <f>HYPERLINK("http://apps.fcc.gov/ecfs/document/view?id=7521089557","Docket 10 90 Expression of Interest for Broadband Experiment (2 pages)")</f>
        <v>Docket 10 90 Expression of Interest for Broadband Experiment (2 pages)</v>
      </c>
      <c r="C550" s="17" t="s">
        <v>854</v>
      </c>
      <c r="D550" s="26" t="s">
        <v>1160</v>
      </c>
      <c r="E550" s="17" t="s">
        <v>964</v>
      </c>
    </row>
    <row r="551" spans="1:5" s="28" customFormat="1" ht="27.6" x14ac:dyDescent="0.3">
      <c r="A551" s="29" t="s">
        <v>687</v>
      </c>
      <c r="B551" s="24" t="str">
        <f>HYPERLINK("http://apps.fcc.gov/ecfs/document/view?id=7521089549","Docket 10 90 Expression of Interest for Broadband Experiment (2 pages)")</f>
        <v>Docket 10 90 Expression of Interest for Broadband Experiment (2 pages)</v>
      </c>
      <c r="C551" s="17" t="s">
        <v>854</v>
      </c>
      <c r="D551" s="26" t="s">
        <v>1160</v>
      </c>
      <c r="E551" s="17" t="s">
        <v>964</v>
      </c>
    </row>
    <row r="552" spans="1:5" s="28" customFormat="1" ht="27.6" x14ac:dyDescent="0.3">
      <c r="A552" s="29" t="s">
        <v>687</v>
      </c>
      <c r="B552" s="24" t="str">
        <f>HYPERLINK("http://apps.fcc.gov/ecfs/document/view?id=7521090394","Docket 10 90 Expression of Interest for Broadband Experiment (2 pages)")</f>
        <v>Docket 10 90 Expression of Interest for Broadband Experiment (2 pages)</v>
      </c>
      <c r="C552" s="30" t="s">
        <v>854</v>
      </c>
      <c r="D552" s="26" t="s">
        <v>1160</v>
      </c>
      <c r="E552" s="17" t="s">
        <v>964</v>
      </c>
    </row>
    <row r="553" spans="1:5" s="28" customFormat="1" ht="27.6" x14ac:dyDescent="0.3">
      <c r="A553" s="29" t="s">
        <v>687</v>
      </c>
      <c r="B553" s="24" t="str">
        <f>HYPERLINK("http://apps.fcc.gov/ecfs/document/view?id=7521090393","Docket 10 90 Expression of Interest for Broadband Experiment (2 pages)")</f>
        <v>Docket 10 90 Expression of Interest for Broadband Experiment (2 pages)</v>
      </c>
      <c r="C553" s="30" t="s">
        <v>854</v>
      </c>
      <c r="D553" s="26" t="s">
        <v>1160</v>
      </c>
      <c r="E553" s="17" t="s">
        <v>964</v>
      </c>
    </row>
    <row r="554" spans="1:5" s="28" customFormat="1" ht="13.8" x14ac:dyDescent="0.3">
      <c r="A554" s="29" t="s">
        <v>919</v>
      </c>
      <c r="B554" s="24" t="str">
        <f>HYPERLINK("http://apps.fcc.gov/ecfs/document/view?id=7521090075","  (3 pages)")</f>
        <v xml:space="preserve">  (3 pages)</v>
      </c>
      <c r="C554" s="30" t="s">
        <v>855</v>
      </c>
      <c r="D554" s="26" t="s">
        <v>1193</v>
      </c>
      <c r="E554" s="17" t="s">
        <v>924</v>
      </c>
    </row>
    <row r="555" spans="1:5" s="28" customFormat="1" ht="13.8" x14ac:dyDescent="0.3">
      <c r="A555" s="29" t="s">
        <v>686</v>
      </c>
      <c r="B555" s="24" t="str">
        <f>HYPERLINK("http://apps.fcc.gov/ecfs/document/view?id=7521089690","  (3 pages)")</f>
        <v xml:space="preserve">  (3 pages)</v>
      </c>
      <c r="C555" s="17" t="s">
        <v>855</v>
      </c>
      <c r="D555" s="26" t="s">
        <v>1246</v>
      </c>
      <c r="E555" s="17" t="s">
        <v>932</v>
      </c>
    </row>
    <row r="556" spans="1:5" s="28" customFormat="1" ht="27.6" x14ac:dyDescent="0.3">
      <c r="A556" s="13" t="s">
        <v>441</v>
      </c>
      <c r="B556" s="14" t="str">
        <f>HYPERLINK("http://apps.fcc.gov/ecfs/document/view?id=7521088588","non binding expression of interest (10 pages)")</f>
        <v>non binding expression of interest (10 pages)</v>
      </c>
      <c r="C556" s="15" t="s">
        <v>877</v>
      </c>
      <c r="D556" s="16" t="s">
        <v>1116</v>
      </c>
      <c r="E556" s="17" t="s">
        <v>943</v>
      </c>
    </row>
    <row r="557" spans="1:5" s="28" customFormat="1" ht="27.6" x14ac:dyDescent="0.3">
      <c r="A557" s="13" t="s">
        <v>440</v>
      </c>
      <c r="B557" s="14" t="str">
        <f>HYPERLINK("http://apps.fcc.gov/ecfs/document/view?id=7521088580","Rural Broadband Experiments Expression of Interest (3 pages)")</f>
        <v>Rural Broadband Experiments Expression of Interest (3 pages)</v>
      </c>
      <c r="C557" s="15" t="s">
        <v>855</v>
      </c>
      <c r="D557" s="16"/>
      <c r="E557" s="17" t="s">
        <v>981</v>
      </c>
    </row>
    <row r="558" spans="1:5" s="28" customFormat="1" ht="27.6" x14ac:dyDescent="0.3">
      <c r="A558" s="13" t="s">
        <v>175</v>
      </c>
      <c r="B558" s="14" t="str">
        <f>HYPERLINK("http://apps.fcc.gov/ecfs/document/view?id=7521089230","  (8 pages)")</f>
        <v xml:space="preserve">  (8 pages)</v>
      </c>
      <c r="C558" s="15" t="s">
        <v>873</v>
      </c>
      <c r="D558" s="16" t="s">
        <v>1083</v>
      </c>
      <c r="E558" s="17" t="s">
        <v>943</v>
      </c>
    </row>
    <row r="559" spans="1:5" s="28" customFormat="1" ht="13.8" x14ac:dyDescent="0.3">
      <c r="A559" s="13" t="s">
        <v>54</v>
      </c>
      <c r="B559" s="14" t="str">
        <f>HYPERLINK("http://apps.fcc.gov/ecfs/document/view?id=7521089262","  (2 pages)")</f>
        <v xml:space="preserve">  (2 pages)</v>
      </c>
      <c r="C559" s="15" t="s">
        <v>854</v>
      </c>
      <c r="D559" s="16"/>
      <c r="E559" s="17" t="s">
        <v>943</v>
      </c>
    </row>
    <row r="560" spans="1:5" s="28" customFormat="1" ht="13.8" x14ac:dyDescent="0.3">
      <c r="A560" s="13" t="s">
        <v>439</v>
      </c>
      <c r="B560" s="14" t="str">
        <f>HYPERLINK("http://apps.fcc.gov/ecfs/document/view?id=7521088109","  (1 page)")</f>
        <v xml:space="preserve">  (1 page)</v>
      </c>
      <c r="C560" s="15" t="s">
        <v>862</v>
      </c>
      <c r="D560" s="16"/>
      <c r="E560" s="17" t="s">
        <v>969</v>
      </c>
    </row>
    <row r="561" spans="1:5" s="28" customFormat="1" ht="27.6" x14ac:dyDescent="0.3">
      <c r="A561" s="13" t="s">
        <v>53</v>
      </c>
      <c r="B561" s="14" t="str">
        <f>HYPERLINK("http://apps.fcc.gov/ecfs/document/view?id=7521089288","MBC Expression of Interest (5 pages)")</f>
        <v>MBC Expression of Interest (5 pages)</v>
      </c>
      <c r="C561" s="15" t="s">
        <v>868</v>
      </c>
      <c r="D561" s="16"/>
      <c r="E561" s="17" t="s">
        <v>932</v>
      </c>
    </row>
    <row r="562" spans="1:5" s="28" customFormat="1" ht="13.8" x14ac:dyDescent="0.3">
      <c r="A562" s="29" t="s">
        <v>685</v>
      </c>
      <c r="B562" s="24" t="str">
        <f>HYPERLINK("http://apps.fcc.gov/ecfs/document/view?id=7521089836","  (2 pages)")</f>
        <v xml:space="preserve">  (2 pages)</v>
      </c>
      <c r="C562" s="17" t="s">
        <v>854</v>
      </c>
      <c r="D562" s="26"/>
      <c r="E562" s="17" t="s">
        <v>944</v>
      </c>
    </row>
    <row r="563" spans="1:5" s="28" customFormat="1" ht="13.8" x14ac:dyDescent="0.3">
      <c r="A563" s="13" t="s">
        <v>291</v>
      </c>
      <c r="B563" s="14" t="str">
        <f>HYPERLINK("http://apps.fcc.gov/ecfs/document/view?id=7521088803","Letter of Interest (1 page)")</f>
        <v>Letter of Interest (1 page)</v>
      </c>
      <c r="C563" s="15" t="s">
        <v>862</v>
      </c>
      <c r="D563" s="16"/>
      <c r="E563" s="17" t="s">
        <v>964</v>
      </c>
    </row>
    <row r="564" spans="1:5" s="28" customFormat="1" ht="41.4" x14ac:dyDescent="0.3">
      <c r="A564" s="13" t="s">
        <v>52</v>
      </c>
      <c r="B564" s="14" t="str">
        <f>HYPERLINK("http://apps.fcc.gov/ecfs/document/view?id=7521089389","Mid Iowa Telecom LLC Expression of Interest 3 6 2014 WC Docket No 10 90 (2 pages)")</f>
        <v>Mid Iowa Telecom LLC Expression of Interest 3 6 2014 WC Docket No 10 90 (2 pages)</v>
      </c>
      <c r="C564" s="15" t="s">
        <v>854</v>
      </c>
      <c r="D564" s="16"/>
      <c r="E564" s="17" t="s">
        <v>935</v>
      </c>
    </row>
    <row r="565" spans="1:5" s="28" customFormat="1" ht="27.6" x14ac:dyDescent="0.3">
      <c r="A565" s="13" t="s">
        <v>438</v>
      </c>
      <c r="B565" s="14" t="str">
        <f>HYPERLINK("http://apps.fcc.gov/ecfs/document/view?id=7521088426","Expression of Interest for Broadband Project WC Docket 10 90 (7 pages)")</f>
        <v>Expression of Interest for Broadband Project WC Docket 10 90 (7 pages)</v>
      </c>
      <c r="C565" s="15" t="s">
        <v>881</v>
      </c>
      <c r="D565" s="16"/>
      <c r="E565" s="17" t="s">
        <v>936</v>
      </c>
    </row>
    <row r="566" spans="1:5" s="28" customFormat="1" ht="13.8" x14ac:dyDescent="0.3">
      <c r="A566" s="13" t="s">
        <v>368</v>
      </c>
      <c r="B566" s="14" t="str">
        <f>HYPERLINK("http://apps.fcc.gov/ecfs/document/view?id=7521088724","Expression of Interest (2 pages)")</f>
        <v>Expression of Interest (2 pages)</v>
      </c>
      <c r="C566" s="15" t="s">
        <v>854</v>
      </c>
      <c r="D566" s="16"/>
      <c r="E566" s="17" t="s">
        <v>926</v>
      </c>
    </row>
    <row r="567" spans="1:5" s="28" customFormat="1" ht="41.4" x14ac:dyDescent="0.3">
      <c r="A567" s="29" t="s">
        <v>684</v>
      </c>
      <c r="B567" s="24" t="str">
        <f>HYPERLINK("http://apps.fcc.gov/ecfs/document/view?id=7521089852","Mid Rivers Communications Expression of Interest in Rate of Return Area (3 pages)")</f>
        <v>Mid Rivers Communications Expression of Interest in Rate of Return Area (3 pages)</v>
      </c>
      <c r="C567" s="17" t="s">
        <v>855</v>
      </c>
      <c r="D567" s="26"/>
      <c r="E567" s="17" t="s">
        <v>989</v>
      </c>
    </row>
    <row r="568" spans="1:5" s="28" customFormat="1" ht="13.8" x14ac:dyDescent="0.3">
      <c r="A568" s="13" t="s">
        <v>544</v>
      </c>
      <c r="B568" s="14" t="str">
        <f>HYPERLINK("http://apps.fcc.gov/ecfs/document/view?id=7521079164","Expression of Interest (7 pages)")</f>
        <v>Expression of Interest (7 pages)</v>
      </c>
      <c r="C568" s="15" t="s">
        <v>866</v>
      </c>
      <c r="D568" s="16"/>
      <c r="E568" s="17" t="s">
        <v>943</v>
      </c>
    </row>
    <row r="569" spans="1:5" s="28" customFormat="1" ht="13.8" x14ac:dyDescent="0.3">
      <c r="A569" s="13" t="s">
        <v>290</v>
      </c>
      <c r="B569" s="14" t="str">
        <f>HYPERLINK("http://apps.fcc.gov/ecfs/document/view?id=7521088795","  (5 pages)")</f>
        <v xml:space="preserve">  (5 pages)</v>
      </c>
      <c r="C569" s="15" t="s">
        <v>857</v>
      </c>
      <c r="D569" s="16" t="s">
        <v>1128</v>
      </c>
      <c r="E569" s="17" t="s">
        <v>966</v>
      </c>
    </row>
    <row r="570" spans="1:5" s="28" customFormat="1" ht="13.8" x14ac:dyDescent="0.3">
      <c r="A570" s="29" t="s">
        <v>683</v>
      </c>
      <c r="B570" s="24" t="str">
        <f>HYPERLINK("http://apps.fcc.gov/ecfs/document/view?id=7521089839","  (4 pages)")</f>
        <v xml:space="preserve">  (4 pages)</v>
      </c>
      <c r="C570" s="17" t="s">
        <v>857</v>
      </c>
      <c r="D570" s="26" t="s">
        <v>1245</v>
      </c>
      <c r="E570" s="17" t="s">
        <v>961</v>
      </c>
    </row>
    <row r="571" spans="1:5" s="28" customFormat="1" ht="13.8" x14ac:dyDescent="0.3">
      <c r="A571" s="13" t="s">
        <v>492</v>
      </c>
      <c r="B571" s="14" t="str">
        <f>HYPERLINK("http://apps.fcc.gov/ecfs/document/view?id=7521087794","  (2 pages)")</f>
        <v xml:space="preserve">  (2 pages)</v>
      </c>
      <c r="C571" s="15" t="s">
        <v>854</v>
      </c>
      <c r="D571" s="16" t="s">
        <v>992</v>
      </c>
      <c r="E571" s="17" t="s">
        <v>965</v>
      </c>
    </row>
    <row r="572" spans="1:5" s="28" customFormat="1" ht="13.8" x14ac:dyDescent="0.3">
      <c r="A572" s="13" t="s">
        <v>541</v>
      </c>
      <c r="B572" s="14" t="str">
        <f>HYPERLINK("http://apps.fcc.gov/ecfs/document/view?id=7521081433","Expression of Interest (3 pages)")</f>
        <v>Expression of Interest (3 pages)</v>
      </c>
      <c r="C572" s="15" t="s">
        <v>855</v>
      </c>
      <c r="D572" s="16"/>
      <c r="E572" s="17" t="s">
        <v>964</v>
      </c>
    </row>
    <row r="573" spans="1:5" s="28" customFormat="1" ht="13.8" x14ac:dyDescent="0.3">
      <c r="A573" s="29" t="s">
        <v>682</v>
      </c>
      <c r="B573" s="24" t="str">
        <f>HYPERLINK("http://apps.fcc.gov/ecfs/document/view?id=7521089795","  (5 pages)")</f>
        <v xml:space="preserve">  (5 pages)</v>
      </c>
      <c r="C573" s="17" t="s">
        <v>857</v>
      </c>
      <c r="D573" s="26"/>
      <c r="E573" s="17" t="s">
        <v>1244</v>
      </c>
    </row>
    <row r="574" spans="1:5" s="28" customFormat="1" ht="13.8" x14ac:dyDescent="0.3">
      <c r="A574" s="13" t="s">
        <v>367</v>
      </c>
      <c r="B574" s="14" t="str">
        <f>HYPERLINK("http://apps.fcc.gov/ecfs/document/view?id=7521088622","Expression of Interest (2 pages)")</f>
        <v>Expression of Interest (2 pages)</v>
      </c>
      <c r="C574" s="15" t="s">
        <v>854</v>
      </c>
      <c r="D574" s="16"/>
      <c r="E574" s="17" t="s">
        <v>2</v>
      </c>
    </row>
    <row r="575" spans="1:5" s="28" customFormat="1" ht="13.8" x14ac:dyDescent="0.3">
      <c r="A575" s="13" t="s">
        <v>51</v>
      </c>
      <c r="B575" s="14" t="str">
        <f>HYPERLINK("http://apps.fcc.gov/ecfs/document/view?id=7521089343","Letter of Interest RoR (2 pages)")</f>
        <v>Letter of Interest RoR (2 pages)</v>
      </c>
      <c r="C575" s="15" t="s">
        <v>854</v>
      </c>
      <c r="D575" s="16"/>
      <c r="E575" s="17" t="s">
        <v>973</v>
      </c>
    </row>
    <row r="576" spans="1:5" s="28" customFormat="1" ht="13.8" x14ac:dyDescent="0.3">
      <c r="A576" s="29" t="s">
        <v>918</v>
      </c>
      <c r="B576" s="24" t="str">
        <f>HYPERLINK("http://apps.fcc.gov/ecfs/document/view?id=7521090005","Expression of Interest Letter (2 pages)")</f>
        <v>Expression of Interest Letter (2 pages)</v>
      </c>
      <c r="C576" s="30" t="s">
        <v>854</v>
      </c>
      <c r="D576" s="26"/>
      <c r="E576" s="17" t="s">
        <v>964</v>
      </c>
    </row>
    <row r="577" spans="1:5" s="28" customFormat="1" ht="13.8" x14ac:dyDescent="0.3">
      <c r="A577" s="29" t="s">
        <v>681</v>
      </c>
      <c r="B577" s="24" t="str">
        <f>HYPERLINK("http://apps.fcc.gov/ecfs/document/view?id=7521089669","  (4 pages)")</f>
        <v xml:space="preserve">  (4 pages)</v>
      </c>
      <c r="C577" s="17" t="s">
        <v>859</v>
      </c>
      <c r="D577" s="26"/>
      <c r="E577" s="17" t="s">
        <v>961</v>
      </c>
    </row>
    <row r="578" spans="1:5" s="28" customFormat="1" ht="13.8" x14ac:dyDescent="0.3">
      <c r="A578" s="29" t="s">
        <v>680</v>
      </c>
      <c r="B578" s="24" t="str">
        <f>HYPERLINK("http://apps.fcc.gov/ecfs/document/view?id=7521089649","  (6 pages)")</f>
        <v xml:space="preserve">  (6 pages)</v>
      </c>
      <c r="C578" s="17" t="s">
        <v>856</v>
      </c>
      <c r="D578" s="26"/>
      <c r="E578" s="17" t="s">
        <v>2</v>
      </c>
    </row>
    <row r="579" spans="1:5" s="28" customFormat="1" ht="41.4" x14ac:dyDescent="0.3">
      <c r="A579" s="13" t="s">
        <v>528</v>
      </c>
      <c r="B579" s="14" t="str">
        <f>HYPERLINK("http://apps.fcc.gov/ecfs/document/view?id=7521084846","FCC EOI Broadband Project Missouri RSA 5 dba Chariton Valley Wireless Services (2 pages)")</f>
        <v>FCC EOI Broadband Project Missouri RSA 5 dba Chariton Valley Wireless Services (2 pages)</v>
      </c>
      <c r="C579" s="15" t="s">
        <v>854</v>
      </c>
      <c r="D579" s="16"/>
      <c r="E579" s="17" t="s">
        <v>2</v>
      </c>
    </row>
    <row r="580" spans="1:5" s="28" customFormat="1" ht="13.8" x14ac:dyDescent="0.3">
      <c r="A580" s="29" t="s">
        <v>679</v>
      </c>
      <c r="B580" s="31" t="str">
        <f>HYPERLINK("http://apps.fcc.gov/ecfs/document/view?id=7521089856","  (1 page)")</f>
        <v xml:space="preserve">  (1 page)</v>
      </c>
      <c r="C580" s="17" t="s">
        <v>862</v>
      </c>
      <c r="D580" s="26"/>
      <c r="E580" s="17" t="s">
        <v>1001</v>
      </c>
    </row>
    <row r="581" spans="1:5" s="28" customFormat="1" ht="27.6" x14ac:dyDescent="0.3">
      <c r="A581" s="13" t="s">
        <v>491</v>
      </c>
      <c r="B581" s="14" t="str">
        <f>HYPERLINK("http://apps.fcc.gov/ecfs/document/view?id=7521087600","  (2 pages)")</f>
        <v xml:space="preserve">  (2 pages)</v>
      </c>
      <c r="C581" s="15" t="s">
        <v>854</v>
      </c>
      <c r="D581" s="16" t="s">
        <v>991</v>
      </c>
      <c r="E581" s="17" t="s">
        <v>924</v>
      </c>
    </row>
    <row r="582" spans="1:5" s="28" customFormat="1" ht="27.6" x14ac:dyDescent="0.3">
      <c r="A582" s="13" t="s">
        <v>495</v>
      </c>
      <c r="B582" s="14" t="str">
        <f>HYPERLINK("http://apps.fcc.gov/ecfs/document/view?id=7521088002","Expression of Interest Letter Rural Trials (5 pages)")</f>
        <v>Expression of Interest Letter Rural Trials (5 pages)</v>
      </c>
      <c r="C582" s="15" t="s">
        <v>857</v>
      </c>
      <c r="D582" s="16"/>
      <c r="E582" s="17" t="s">
        <v>1001</v>
      </c>
    </row>
    <row r="583" spans="1:5" s="28" customFormat="1" ht="13.8" x14ac:dyDescent="0.3">
      <c r="A583" s="13" t="s">
        <v>289</v>
      </c>
      <c r="B583" s="14" t="str">
        <f>HYPERLINK("http://apps.fcc.gov/ecfs/document/view?id=7521088867","  (2 pages)")</f>
        <v xml:space="preserve">  (2 pages)</v>
      </c>
      <c r="C583" s="15" t="s">
        <v>854</v>
      </c>
      <c r="D583" s="16"/>
      <c r="E583" s="17" t="s">
        <v>940</v>
      </c>
    </row>
    <row r="584" spans="1:5" s="28" customFormat="1" ht="13.8" x14ac:dyDescent="0.3">
      <c r="A584" s="29" t="s">
        <v>678</v>
      </c>
      <c r="B584" s="24" t="str">
        <f>HYPERLINK("http://apps.fcc.gov/ecfs/document/view?id=7521089942","Mojavewifi com LLC (2 pages)")</f>
        <v>Mojavewifi com LLC (2 pages)</v>
      </c>
      <c r="C584" s="17" t="s">
        <v>854</v>
      </c>
      <c r="D584" s="26"/>
      <c r="E584" s="17"/>
    </row>
    <row r="585" spans="1:5" s="28" customFormat="1" ht="27.6" x14ac:dyDescent="0.3">
      <c r="A585" s="13" t="s">
        <v>174</v>
      </c>
      <c r="B585" s="14" t="str">
        <f>HYPERLINK("http://apps.fcc.gov/ecfs/document/view?id=7521089056","Monarc EOI Rural CAF Experiment (4 pages)")</f>
        <v>Monarc EOI Rural CAF Experiment (4 pages)</v>
      </c>
      <c r="C585" s="15" t="s">
        <v>859</v>
      </c>
      <c r="D585" s="16"/>
      <c r="E585" s="17" t="s">
        <v>935</v>
      </c>
    </row>
    <row r="586" spans="1:5" s="28" customFormat="1" ht="27.6" x14ac:dyDescent="0.3">
      <c r="A586" s="13" t="s">
        <v>173</v>
      </c>
      <c r="B586" s="14" t="str">
        <f>HYPERLINK("http://apps.fcc.gov/ecfs/document/view?id=7521089240","Expression of Interest (4 pages)")</f>
        <v>Expression of Interest (4 pages)</v>
      </c>
      <c r="C586" s="15" t="s">
        <v>859</v>
      </c>
      <c r="D586" s="16"/>
      <c r="E586" s="17" t="s">
        <v>944</v>
      </c>
    </row>
    <row r="587" spans="1:5" s="28" customFormat="1" ht="13.8" x14ac:dyDescent="0.3">
      <c r="A587" s="13" t="s">
        <v>490</v>
      </c>
      <c r="B587" s="14" t="str">
        <f>HYPERLINK("http://apps.fcc.gov/ecfs/document/view?id=7521087735","  (6 pages)")</f>
        <v xml:space="preserve">  (6 pages)</v>
      </c>
      <c r="C587" s="15" t="s">
        <v>856</v>
      </c>
      <c r="D587" s="16"/>
      <c r="E587" s="17" t="s">
        <v>973</v>
      </c>
    </row>
    <row r="588" spans="1:5" s="28" customFormat="1" ht="13.8" x14ac:dyDescent="0.3">
      <c r="A588" s="29" t="s">
        <v>677</v>
      </c>
      <c r="B588" s="24" t="str">
        <f>HYPERLINK("http://apps.fcc.gov/ecfs/document/view?id=7521089603","  (2 pages)")</f>
        <v xml:space="preserve">  (2 pages)</v>
      </c>
      <c r="C588" s="17" t="s">
        <v>854</v>
      </c>
      <c r="D588" s="26"/>
      <c r="E588" s="17" t="s">
        <v>961</v>
      </c>
    </row>
    <row r="589" spans="1:5" s="28" customFormat="1" ht="13.8" x14ac:dyDescent="0.3">
      <c r="A589" s="13" t="s">
        <v>366</v>
      </c>
      <c r="B589" s="14" t="str">
        <f>HYPERLINK("http://apps.fcc.gov/ecfs/document/view?id=7521088745","Expression of Interest (2 pages)")</f>
        <v>Expression of Interest (2 pages)</v>
      </c>
      <c r="C589" s="15" t="s">
        <v>854</v>
      </c>
      <c r="D589" s="16"/>
      <c r="E589" s="17" t="s">
        <v>968</v>
      </c>
    </row>
    <row r="590" spans="1:5" s="28" customFormat="1" ht="41.4" x14ac:dyDescent="0.3">
      <c r="A590" s="29" t="s">
        <v>676</v>
      </c>
      <c r="B590" s="24" t="str">
        <f>HYPERLINK("http://apps.fcc.gov/ecfs/document/view?id=7521089581","Mountain Area Information Network Expression of Interest for Rural Broadband Exp (12 pages)")</f>
        <v>Mountain Area Information Network Expression of Interest for Rural Broadband Exp (12 pages)</v>
      </c>
      <c r="C590" s="17" t="s">
        <v>861</v>
      </c>
      <c r="D590" s="26"/>
      <c r="E590" s="17" t="s">
        <v>924</v>
      </c>
    </row>
    <row r="591" spans="1:5" s="28" customFormat="1" ht="13.8" x14ac:dyDescent="0.3">
      <c r="A591" s="13" t="s">
        <v>530</v>
      </c>
      <c r="B591" s="14" t="str">
        <f>HYPERLINK("http://apps.fcc.gov/ecfs/document/view?id=7521084975","  (4 pages)")</f>
        <v xml:space="preserve">  (4 pages)</v>
      </c>
      <c r="C591" s="15" t="s">
        <v>876</v>
      </c>
      <c r="D591" s="16"/>
      <c r="E591" s="17" t="s">
        <v>937</v>
      </c>
    </row>
    <row r="592" spans="1:5" s="28" customFormat="1" ht="13.8" x14ac:dyDescent="0.3">
      <c r="A592" s="13" t="s">
        <v>489</v>
      </c>
      <c r="B592" s="14" t="str">
        <f>HYPERLINK("http://apps.fcc.gov/ecfs/document/view?id=7521087587","  (4 pages)")</f>
        <v xml:space="preserve">  (4 pages)</v>
      </c>
      <c r="C592" s="15" t="s">
        <v>861</v>
      </c>
      <c r="D592" s="16"/>
      <c r="E592" s="17" t="s">
        <v>937</v>
      </c>
    </row>
    <row r="593" spans="1:5" s="28" customFormat="1" ht="13.8" x14ac:dyDescent="0.3">
      <c r="A593" s="13" t="s">
        <v>172</v>
      </c>
      <c r="B593" s="14" t="str">
        <f>HYPERLINK("http://apps.fcc.gov/ecfs/document/view?id=7521089020","  (2 pages)")</f>
        <v xml:space="preserve">  (2 pages)</v>
      </c>
      <c r="C593" s="15" t="s">
        <v>854</v>
      </c>
      <c r="D593" s="16"/>
      <c r="E593" s="17" t="s">
        <v>929</v>
      </c>
    </row>
    <row r="594" spans="1:5" s="28" customFormat="1" ht="13.8" x14ac:dyDescent="0.3">
      <c r="A594" s="13" t="s">
        <v>50</v>
      </c>
      <c r="B594" s="14" t="str">
        <f>HYPERLINK("http://apps.fcc.gov/ecfs/document/view?id=7521089254","Letter of Interest (2 pages)")</f>
        <v>Letter of Interest (2 pages)</v>
      </c>
      <c r="C594" s="15" t="s">
        <v>854</v>
      </c>
      <c r="D594" s="16"/>
      <c r="E594" s="17" t="s">
        <v>963</v>
      </c>
    </row>
    <row r="595" spans="1:5" s="28" customFormat="1" ht="27.6" x14ac:dyDescent="0.3">
      <c r="A595" s="29" t="s">
        <v>696</v>
      </c>
      <c r="B595" s="24" t="str">
        <f>HYPERLINK("http://apps.fcc.gov/ecfs/document/view?id=7521089861","Midvale Expression of Interest (5 pages)")</f>
        <v>Midvale Expression of Interest (5 pages)</v>
      </c>
      <c r="C595" s="17" t="s">
        <v>857</v>
      </c>
      <c r="D595" s="26"/>
      <c r="E595" s="17" t="s">
        <v>962</v>
      </c>
    </row>
    <row r="596" spans="1:5" s="28" customFormat="1" ht="13.8" x14ac:dyDescent="0.3">
      <c r="A596" s="13" t="s">
        <v>488</v>
      </c>
      <c r="B596" s="14" t="str">
        <f>HYPERLINK("http://apps.fcc.gov/ecfs/document/view?id=7521088276","Expression of Interest (2 pages)")</f>
        <v>Expression of Interest (2 pages)</v>
      </c>
      <c r="C596" s="15" t="s">
        <v>854</v>
      </c>
      <c r="D596" s="16"/>
      <c r="E596" s="17" t="s">
        <v>935</v>
      </c>
    </row>
    <row r="597" spans="1:5" s="28" customFormat="1" ht="13.8" x14ac:dyDescent="0.3">
      <c r="A597" s="29" t="s">
        <v>695</v>
      </c>
      <c r="B597" s="24" t="str">
        <f>HYPERLINK("http://apps.fcc.gov/ecfs/document/view?id=7521089622","  (3 pages)")</f>
        <v xml:space="preserve">  (3 pages)</v>
      </c>
      <c r="C597" s="17" t="s">
        <v>855</v>
      </c>
      <c r="D597" s="26"/>
      <c r="E597" s="17" t="s">
        <v>964</v>
      </c>
    </row>
    <row r="598" spans="1:5" s="28" customFormat="1" ht="13.8" x14ac:dyDescent="0.3">
      <c r="A598" s="29" t="s">
        <v>675</v>
      </c>
      <c r="B598" s="24" t="str">
        <f>HYPERLINK("http://apps.fcc.gov/ecfs/document/view?id=7521089550","  (2 pages)")</f>
        <v xml:space="preserve">  (2 pages)</v>
      </c>
      <c r="C598" s="17" t="s">
        <v>854</v>
      </c>
      <c r="D598" s="26"/>
      <c r="E598" s="17" t="s">
        <v>1084</v>
      </c>
    </row>
    <row r="599" spans="1:5" s="28" customFormat="1" ht="13.8" x14ac:dyDescent="0.3">
      <c r="A599" s="13" t="s">
        <v>487</v>
      </c>
      <c r="B599" s="14" t="str">
        <f>HYPERLINK("http://apps.fcc.gov/ecfs/document/view?id=7521088172","  (2 pages)")</f>
        <v xml:space="preserve">  (2 pages)</v>
      </c>
      <c r="C599" s="15" t="s">
        <v>854</v>
      </c>
      <c r="D599" s="16"/>
      <c r="E599" s="17" t="s">
        <v>2</v>
      </c>
    </row>
    <row r="600" spans="1:5" s="28" customFormat="1" ht="41.4" x14ac:dyDescent="0.3">
      <c r="A600" s="29" t="s">
        <v>917</v>
      </c>
      <c r="B600" s="24" t="str">
        <f>HYPERLINK("http://apps.fcc.gov/ecfs/document/view?id=7521090117","SEUT Navajo Nation Northern RBDO Expression of Interest for Rural Broadband Expe (3 pages)")</f>
        <v>SEUT Navajo Nation Northern RBDO Expression of Interest for Rural Broadband Expe (3 pages)</v>
      </c>
      <c r="C600" s="30" t="s">
        <v>855</v>
      </c>
      <c r="D600" s="26"/>
      <c r="E600" s="17" t="s">
        <v>1010</v>
      </c>
    </row>
    <row r="601" spans="1:5" s="28" customFormat="1" ht="13.8" x14ac:dyDescent="0.3">
      <c r="A601" s="13" t="s">
        <v>288</v>
      </c>
      <c r="B601" s="14" t="str">
        <f>HYPERLINK("http://apps.fcc.gov/ecfs/document/view?id=7521088937","  (4 pages)")</f>
        <v xml:space="preserve">  (4 pages)</v>
      </c>
      <c r="C601" s="15" t="s">
        <v>859</v>
      </c>
      <c r="D601" s="16"/>
      <c r="E601" s="17" t="s">
        <v>1045</v>
      </c>
    </row>
    <row r="602" spans="1:5" s="28" customFormat="1" ht="13.8" x14ac:dyDescent="0.3">
      <c r="A602" s="29" t="s">
        <v>674</v>
      </c>
      <c r="B602" s="24" t="str">
        <f>HYPERLINK("http://apps.fcc.gov/ecfs/document/view?id=7521089919","Rural Broadband (3 pages)")</f>
        <v>Rural Broadband (3 pages)</v>
      </c>
      <c r="C602" s="17" t="s">
        <v>855</v>
      </c>
      <c r="D602" s="26"/>
      <c r="E602" s="17" t="s">
        <v>926</v>
      </c>
    </row>
    <row r="603" spans="1:5" s="28" customFormat="1" ht="13.8" x14ac:dyDescent="0.3">
      <c r="A603" s="13" t="s">
        <v>286</v>
      </c>
      <c r="B603" s="14" t="str">
        <f>HYPERLINK("http://apps.fcc.gov/ecfs/document/view?id=7521088788","  (2 pages)")</f>
        <v xml:space="preserve">  (2 pages)</v>
      </c>
      <c r="C603" s="15" t="s">
        <v>854</v>
      </c>
      <c r="D603" s="16"/>
      <c r="E603" s="17" t="s">
        <v>940</v>
      </c>
    </row>
    <row r="604" spans="1:5" s="28" customFormat="1" ht="13.8" x14ac:dyDescent="0.3">
      <c r="A604" s="13" t="s">
        <v>436</v>
      </c>
      <c r="B604" s="14" t="str">
        <f>HYPERLINK("http://apps.fcc.gov/ecfs/document/view?id=7521088436","  (9 pages)")</f>
        <v xml:space="preserve">  (9 pages)</v>
      </c>
      <c r="C604" s="15" t="s">
        <v>860</v>
      </c>
      <c r="D604" s="16"/>
      <c r="E604" s="17"/>
    </row>
    <row r="605" spans="1:5" s="28" customFormat="1" ht="27.6" x14ac:dyDescent="0.3">
      <c r="A605" s="29" t="s">
        <v>670</v>
      </c>
      <c r="B605" s="24" t="str">
        <f>HYPERLINK("http://apps.fcc.gov/ecfs/document/view?id=7521089547","Rural Broadband Experiment 2014 (5 pages)")</f>
        <v>Rural Broadband Experiment 2014 (5 pages)</v>
      </c>
      <c r="C605" s="17" t="s">
        <v>857</v>
      </c>
      <c r="D605" s="26" t="s">
        <v>1065</v>
      </c>
      <c r="E605" s="17" t="s">
        <v>932</v>
      </c>
    </row>
    <row r="606" spans="1:5" s="28" customFormat="1" ht="13.8" x14ac:dyDescent="0.3">
      <c r="A606" s="29" t="s">
        <v>669</v>
      </c>
      <c r="B606" s="24" t="str">
        <f>HYPERLINK("http://apps.fcc.gov/ecfs/document/view?id=7521089850","  (1 page)")</f>
        <v xml:space="preserve">  (1 page)</v>
      </c>
      <c r="C606" s="17" t="s">
        <v>862</v>
      </c>
      <c r="D606" s="26"/>
      <c r="E606" s="17" t="s">
        <v>1064</v>
      </c>
    </row>
    <row r="607" spans="1:5" s="28" customFormat="1" ht="13.8" x14ac:dyDescent="0.3">
      <c r="A607" s="29" t="s">
        <v>668</v>
      </c>
      <c r="B607" s="24" t="str">
        <f>HYPERLINK("http://apps.fcc.gov/ecfs/document/view?id=7521089558","eoa_submission (3 pages)")</f>
        <v>eoa_submission (3 pages)</v>
      </c>
      <c r="C607" s="17" t="s">
        <v>855</v>
      </c>
      <c r="D607" s="26"/>
      <c r="E607" s="17" t="s">
        <v>968</v>
      </c>
    </row>
    <row r="608" spans="1:5" s="28" customFormat="1" ht="27.6" x14ac:dyDescent="0.3">
      <c r="A608" s="13" t="s">
        <v>285</v>
      </c>
      <c r="B608" s="14" t="str">
        <f>HYPERLINK("http://apps.fcc.gov/ecfs/document/view?id=7521088934","Rural Broadband Experiments Expression of Interest (3 pages)")</f>
        <v>Rural Broadband Experiments Expression of Interest (3 pages)</v>
      </c>
      <c r="C608" s="15" t="s">
        <v>855</v>
      </c>
      <c r="D608" s="16"/>
      <c r="E608" s="17" t="s">
        <v>969</v>
      </c>
    </row>
    <row r="609" spans="1:5" s="28" customFormat="1" ht="27.6" x14ac:dyDescent="0.3">
      <c r="A609" s="29" t="s">
        <v>486</v>
      </c>
      <c r="B609" s="24" t="str">
        <f>HYPERLINK("http://apps.fcc.gov/ecfs/document/view?id=7521089636","  (3 pages)")</f>
        <v xml:space="preserve">  (3 pages)</v>
      </c>
      <c r="C609" s="17" t="s">
        <v>855</v>
      </c>
      <c r="D609" s="26" t="s">
        <v>1063</v>
      </c>
      <c r="E609" s="17" t="s">
        <v>926</v>
      </c>
    </row>
    <row r="610" spans="1:5" s="28" customFormat="1" ht="41.4" x14ac:dyDescent="0.3">
      <c r="A610" s="13" t="s">
        <v>284</v>
      </c>
      <c r="B610" s="14" t="str">
        <f>HYPERLINK("http://apps.fcc.gov/ecfs/document/view?id=7521088971","Expression of Interest for FCC Rural Broadband Experiments Project (2 pages)")</f>
        <v>Expression of Interest for FCC Rural Broadband Experiments Project (2 pages)</v>
      </c>
      <c r="C610" s="15" t="s">
        <v>854</v>
      </c>
      <c r="D610" s="16"/>
      <c r="E610" s="17" t="s">
        <v>933</v>
      </c>
    </row>
    <row r="611" spans="1:5" s="28" customFormat="1" ht="13.8" x14ac:dyDescent="0.3">
      <c r="A611" s="13" t="s">
        <v>435</v>
      </c>
      <c r="B611" s="14" t="str">
        <f>HYPERLINK("http://apps.fcc.gov/ecfs/document/view?id=7521088586","Letter of Interest (2 pages)")</f>
        <v>Letter of Interest (2 pages)</v>
      </c>
      <c r="C611" s="15" t="s">
        <v>854</v>
      </c>
      <c r="D611" s="16"/>
      <c r="E611" s="17" t="s">
        <v>968</v>
      </c>
    </row>
    <row r="612" spans="1:5" s="28" customFormat="1" ht="27.6" x14ac:dyDescent="0.3">
      <c r="A612" s="13" t="s">
        <v>49</v>
      </c>
      <c r="B612" s="14" t="str">
        <f>HYPERLINK("http://apps.fcc.gov/ecfs/document/view?id=7521089366","Rural BBand Experiment Letter of Interest (2 pages)")</f>
        <v>Rural BBand Experiment Letter of Interest (2 pages)</v>
      </c>
      <c r="C612" s="15" t="s">
        <v>854</v>
      </c>
      <c r="D612" s="16"/>
      <c r="E612" s="17" t="s">
        <v>931</v>
      </c>
    </row>
    <row r="613" spans="1:5" s="28" customFormat="1" ht="13.8" x14ac:dyDescent="0.3">
      <c r="A613" s="13" t="s">
        <v>365</v>
      </c>
      <c r="B613" s="14" t="str">
        <f>HYPERLINK("http://apps.fcc.gov/ecfs/document/view?id=7521088613","  (3 pages)")</f>
        <v xml:space="preserve">  (3 pages)</v>
      </c>
      <c r="C613" s="15" t="s">
        <v>855</v>
      </c>
      <c r="D613" s="16"/>
      <c r="E613" s="17" t="s">
        <v>926</v>
      </c>
    </row>
    <row r="614" spans="1:5" s="28" customFormat="1" ht="13.8" x14ac:dyDescent="0.3">
      <c r="A614" s="13" t="s">
        <v>171</v>
      </c>
      <c r="B614" s="14" t="str">
        <f>HYPERLINK("http://apps.fcc.gov/ecfs/document/view?id=7521089084","Expression of Interest (2 pages)")</f>
        <v>Expression of Interest (2 pages)</v>
      </c>
      <c r="C614" s="15" t="s">
        <v>854</v>
      </c>
      <c r="D614" s="16"/>
      <c r="E614" s="17" t="s">
        <v>1022</v>
      </c>
    </row>
    <row r="615" spans="1:5" s="28" customFormat="1" ht="27.6" x14ac:dyDescent="0.3">
      <c r="A615" s="13" t="s">
        <v>1114</v>
      </c>
      <c r="B615" s="14" t="str">
        <f>HYPERLINK("http://apps.fcc.gov/ecfs/document/view?id=7521088822","St Mary s County EOI for Rural BB Pilot (1 page)")</f>
        <v>St Mary s County EOI for Rural BB Pilot (1 page)</v>
      </c>
      <c r="C615" s="15" t="s">
        <v>862</v>
      </c>
      <c r="D615" s="16"/>
      <c r="E615" s="17" t="s">
        <v>1115</v>
      </c>
    </row>
    <row r="616" spans="1:5" s="28" customFormat="1" ht="13.8" x14ac:dyDescent="0.3">
      <c r="A616" s="13" t="s">
        <v>170</v>
      </c>
      <c r="B616" s="14" t="str">
        <f>HYPERLINK("http://apps.fcc.gov/ecfs/document/view?id=7521089191","Expression of Interest (2 pages)")</f>
        <v>Expression of Interest (2 pages)</v>
      </c>
      <c r="C616" s="15" t="s">
        <v>854</v>
      </c>
      <c r="D616" s="16"/>
      <c r="E616" s="17" t="s">
        <v>1021</v>
      </c>
    </row>
    <row r="617" spans="1:5" s="28" customFormat="1" ht="13.8" x14ac:dyDescent="0.3">
      <c r="A617" s="13" t="s">
        <v>48</v>
      </c>
      <c r="B617" s="14" t="str">
        <f>HYPERLINK("http://apps.fcc.gov/ecfs/document/view?id=7521089440","Nexus City of Vidalia Letter (5 pages)")</f>
        <v>Nexus City of Vidalia Letter (5 pages)</v>
      </c>
      <c r="C617" s="15" t="s">
        <v>856</v>
      </c>
      <c r="D617" s="16"/>
      <c r="E617" s="17" t="s">
        <v>967</v>
      </c>
    </row>
    <row r="618" spans="1:5" s="28" customFormat="1" ht="13.8" x14ac:dyDescent="0.3">
      <c r="A618" s="28" t="s">
        <v>1093</v>
      </c>
      <c r="B618" s="10" t="str">
        <f>HYPERLINK("http://apps.fcc.gov/ecfs/document/view?id=7521092443","Expression of Interest Letter (17 pages)")</f>
        <v>Expression of Interest Letter (17 pages)</v>
      </c>
      <c r="C618" s="17" t="s">
        <v>863</v>
      </c>
      <c r="D618" s="29" t="s">
        <v>1187</v>
      </c>
      <c r="E618" s="17" t="s">
        <v>935</v>
      </c>
    </row>
    <row r="619" spans="1:5" s="28" customFormat="1" ht="27.6" x14ac:dyDescent="0.3">
      <c r="A619" s="13" t="s">
        <v>364</v>
      </c>
      <c r="B619" s="14" t="str">
        <f>HYPERLINK("http://apps.fcc.gov/ecfs/document/view?id=7521088393","  (5 pages)")</f>
        <v xml:space="preserve">  (5 pages)</v>
      </c>
      <c r="C619" s="15" t="s">
        <v>857</v>
      </c>
      <c r="D619" s="16" t="s">
        <v>1072</v>
      </c>
      <c r="E619" s="17" t="s">
        <v>932</v>
      </c>
    </row>
    <row r="620" spans="1:5" s="28" customFormat="1" ht="13.8" x14ac:dyDescent="0.3">
      <c r="A620" s="13" t="s">
        <v>364</v>
      </c>
      <c r="B620" s="14" t="str">
        <f>HYPERLINK("http://apps.fcc.gov/ecfs/document/view?id=7521087999"," (4 pages)")</f>
        <v xml:space="preserve"> (4 pages)</v>
      </c>
      <c r="C620" s="15" t="s">
        <v>859</v>
      </c>
      <c r="D620" s="16" t="s">
        <v>1119</v>
      </c>
      <c r="E620" s="17" t="s">
        <v>932</v>
      </c>
    </row>
    <row r="621" spans="1:5" s="28" customFormat="1" ht="13.8" x14ac:dyDescent="0.3">
      <c r="A621" s="29" t="s">
        <v>673</v>
      </c>
      <c r="B621" s="24" t="str">
        <f>HYPERLINK("http://apps.fcc.gov/ecfs/document/view?id=7521089530","NIPCO Rural CAF EOI (5 pages)")</f>
        <v>NIPCO Rural CAF EOI (5 pages)</v>
      </c>
      <c r="C621" s="17" t="s">
        <v>857</v>
      </c>
      <c r="D621" s="26"/>
      <c r="E621" s="17" t="s">
        <v>935</v>
      </c>
    </row>
    <row r="622" spans="1:5" s="28" customFormat="1" ht="27.6" x14ac:dyDescent="0.3">
      <c r="A622" s="29" t="s">
        <v>667</v>
      </c>
      <c r="B622" s="24" t="str">
        <f>HYPERLINK("http://apps.fcc.gov/ecfs/document/view?id=7521089763","Nittany Media expression of interest letter (4 pages)")</f>
        <v>Nittany Media expression of interest letter (4 pages)</v>
      </c>
      <c r="C622" s="17" t="s">
        <v>877</v>
      </c>
      <c r="D622" s="26"/>
      <c r="E622" s="17" t="s">
        <v>1045</v>
      </c>
    </row>
    <row r="623" spans="1:5" s="28" customFormat="1" ht="27.6" x14ac:dyDescent="0.3">
      <c r="A623" s="13" t="s">
        <v>434</v>
      </c>
      <c r="B623" s="14" t="str">
        <f>HYPERLINK("http://apps.fcc.gov/ecfs/document/view?id=7521088356","  (7 pages)")</f>
        <v xml:space="preserve">  (7 pages)</v>
      </c>
      <c r="C623" s="15" t="s">
        <v>866</v>
      </c>
      <c r="D623" s="16"/>
      <c r="E623" s="17" t="s">
        <v>928</v>
      </c>
    </row>
    <row r="624" spans="1:5" s="28" customFormat="1" ht="13.8" x14ac:dyDescent="0.3">
      <c r="A624" s="13" t="s">
        <v>433</v>
      </c>
      <c r="B624" s="14" t="str">
        <f>HYPERLINK("http://apps.fcc.gov/ecfs/document/view?id=7521088407","Expression of Interest (3 pages)")</f>
        <v>Expression of Interest (3 pages)</v>
      </c>
      <c r="C624" s="15" t="s">
        <v>855</v>
      </c>
      <c r="D624" s="16"/>
      <c r="E624" s="17" t="s">
        <v>924</v>
      </c>
    </row>
    <row r="625" spans="1:5" s="28" customFormat="1" ht="13.8" x14ac:dyDescent="0.3">
      <c r="A625" s="13" t="s">
        <v>283</v>
      </c>
      <c r="B625" s="14" t="str">
        <f>HYPERLINK("http://apps.fcc.gov/ecfs/document/view?id=7521088805","  (2 pages)")</f>
        <v xml:space="preserve">  (2 pages)</v>
      </c>
      <c r="C625" s="15" t="s">
        <v>854</v>
      </c>
      <c r="D625" s="16"/>
      <c r="E625" s="17" t="s">
        <v>973</v>
      </c>
    </row>
    <row r="626" spans="1:5" s="28" customFormat="1" ht="13.8" x14ac:dyDescent="0.3">
      <c r="A626" s="13" t="s">
        <v>282</v>
      </c>
      <c r="B626" s="14" t="str">
        <f>HYPERLINK("http://apps.fcc.gov/ecfs/document/view?id=7521088816","  (2 pages)")</f>
        <v xml:space="preserve">  (2 pages)</v>
      </c>
      <c r="C626" s="15" t="s">
        <v>854</v>
      </c>
      <c r="D626" s="16"/>
      <c r="E626" s="17" t="s">
        <v>1127</v>
      </c>
    </row>
    <row r="627" spans="1:5" s="28" customFormat="1" ht="27.6" x14ac:dyDescent="0.3">
      <c r="A627" s="13" t="s">
        <v>281</v>
      </c>
      <c r="B627" s="14" t="str">
        <f>HYPERLINK("http://apps.fcc.gov/ecfs/document/view?id=7521088857","Rural BBand Experiment Letter of Interest (2 pages)")</f>
        <v>Rural BBand Experiment Letter of Interest (2 pages)</v>
      </c>
      <c r="C627" s="15" t="s">
        <v>854</v>
      </c>
      <c r="D627" s="16"/>
      <c r="E627" s="17" t="s">
        <v>1001</v>
      </c>
    </row>
    <row r="628" spans="1:5" s="28" customFormat="1" ht="13.8" x14ac:dyDescent="0.3">
      <c r="A628" s="29" t="s">
        <v>666</v>
      </c>
      <c r="B628" s="24" t="str">
        <f>HYPERLINK("http://apps.fcc.gov/ecfs/document/view?id=7521089584","Expression of Interest (5 pages)")</f>
        <v>Expression of Interest (5 pages)</v>
      </c>
      <c r="C628" s="17" t="s">
        <v>866</v>
      </c>
      <c r="D628" s="26"/>
      <c r="E628" s="17" t="s">
        <v>1060</v>
      </c>
    </row>
    <row r="629" spans="1:5" s="28" customFormat="1" ht="13.8" x14ac:dyDescent="0.3">
      <c r="A629" s="13" t="s">
        <v>363</v>
      </c>
      <c r="B629" s="14" t="str">
        <f>HYPERLINK("http://apps.fcc.gov/ecfs/document/view?id=7521088667","Letter (1 page)")</f>
        <v>Letter (1 page)</v>
      </c>
      <c r="C629" s="15" t="s">
        <v>862</v>
      </c>
      <c r="D629" s="16"/>
      <c r="E629" s="17" t="s">
        <v>926</v>
      </c>
    </row>
    <row r="630" spans="1:5" s="28" customFormat="1" ht="13.8" x14ac:dyDescent="0.3">
      <c r="A630" s="13" t="s">
        <v>47</v>
      </c>
      <c r="B630" s="14" t="str">
        <f>HYPERLINK("http://apps.fcc.gov/ecfs/document/view?id=7521089413","  (2 pages)")</f>
        <v xml:space="preserve">  (2 pages)</v>
      </c>
      <c r="C630" s="15" t="s">
        <v>854</v>
      </c>
      <c r="D630" s="16"/>
      <c r="E630" s="17" t="s">
        <v>967</v>
      </c>
    </row>
    <row r="631" spans="1:5" s="28" customFormat="1" ht="13.8" x14ac:dyDescent="0.3">
      <c r="A631" s="29" t="s">
        <v>916</v>
      </c>
      <c r="B631" s="24" t="str">
        <f>HYPERLINK("http://apps.fcc.gov/ecfs/document/view?id=7521090068","Expression of Interest Letter (2 pages)")</f>
        <v>Expression of Interest Letter (2 pages)</v>
      </c>
      <c r="C631" s="30" t="s">
        <v>854</v>
      </c>
      <c r="D631" s="26"/>
      <c r="E631" s="17" t="s">
        <v>940</v>
      </c>
    </row>
    <row r="632" spans="1:5" s="28" customFormat="1" ht="27.6" x14ac:dyDescent="0.3">
      <c r="A632" s="29" t="s">
        <v>665</v>
      </c>
      <c r="B632" s="24" t="str">
        <f>HYPERLINK("http://apps.fcc.gov/ecfs/document/view?id=7521089781","Expression of Interest (6 pages)")</f>
        <v>Expression of Interest (6 pages)</v>
      </c>
      <c r="C632" s="17" t="s">
        <v>856</v>
      </c>
      <c r="D632" s="26" t="s">
        <v>1062</v>
      </c>
      <c r="E632" s="17" t="s">
        <v>1059</v>
      </c>
    </row>
    <row r="633" spans="1:5" s="28" customFormat="1" ht="13.8" x14ac:dyDescent="0.3">
      <c r="A633" s="29" t="s">
        <v>664</v>
      </c>
      <c r="B633" s="24" t="str">
        <f>HYPERLINK("http://apps.fcc.gov/ecfs/document/view?id=7521089730","Letter of Interest Bois Forte (5 pages)")</f>
        <v>Letter of Interest Bois Forte (5 pages)</v>
      </c>
      <c r="C633" s="17" t="s">
        <v>856</v>
      </c>
      <c r="D633" s="26"/>
      <c r="E633" s="17" t="s">
        <v>964</v>
      </c>
    </row>
    <row r="634" spans="1:5" s="28" customFormat="1" ht="27.6" x14ac:dyDescent="0.3">
      <c r="A634" s="29" t="s">
        <v>664</v>
      </c>
      <c r="B634" s="24" t="str">
        <f>HYPERLINK("http://apps.fcc.gov/ecfs/document/view?id=7521089723","Letter of Interest Fond du Lac (5 pages)")</f>
        <v>Letter of Interest Fond du Lac (5 pages)</v>
      </c>
      <c r="C634" s="17" t="s">
        <v>856</v>
      </c>
      <c r="D634" s="26" t="s">
        <v>1061</v>
      </c>
      <c r="E634" s="17" t="s">
        <v>964</v>
      </c>
    </row>
    <row r="635" spans="1:5" s="28" customFormat="1" ht="27.6" x14ac:dyDescent="0.3">
      <c r="A635" s="29" t="s">
        <v>664</v>
      </c>
      <c r="B635" s="24" t="str">
        <f>HYPERLINK("http://apps.fcc.gov/ecfs/document/view?id=7521089716","Letter of Interest Rural Tract (5 pages)")</f>
        <v>Letter of Interest Rural Tract (5 pages)</v>
      </c>
      <c r="C635" s="17" t="s">
        <v>857</v>
      </c>
      <c r="D635" s="26" t="s">
        <v>1061</v>
      </c>
      <c r="E635" s="17" t="s">
        <v>964</v>
      </c>
    </row>
    <row r="636" spans="1:5" s="28" customFormat="1" ht="13.8" x14ac:dyDescent="0.3">
      <c r="A636" s="13" t="s">
        <v>46</v>
      </c>
      <c r="B636" s="14" t="str">
        <f>HYPERLINK("http://apps.fcc.gov/ecfs/document/view?id=7521089429","Northern Iowa Rural CAF EOI (4 pages)")</f>
        <v>Northern Iowa Rural CAF EOI (4 pages)</v>
      </c>
      <c r="C636" s="15" t="s">
        <v>859</v>
      </c>
      <c r="D636" s="16"/>
      <c r="E636" s="17" t="s">
        <v>1139</v>
      </c>
    </row>
    <row r="637" spans="1:5" s="28" customFormat="1" ht="13.8" x14ac:dyDescent="0.3">
      <c r="A637" s="13" t="s">
        <v>169</v>
      </c>
      <c r="B637" s="14" t="str">
        <f>HYPERLINK("http://apps.fcc.gov/ecfs/document/view?id=7521089172","Letter of Interest (2 pages)")</f>
        <v>Letter of Interest (2 pages)</v>
      </c>
      <c r="C637" s="15" t="s">
        <v>854</v>
      </c>
      <c r="D637" s="16"/>
      <c r="E637" s="17" t="s">
        <v>1020</v>
      </c>
    </row>
    <row r="638" spans="1:5" s="28" customFormat="1" ht="27.6" x14ac:dyDescent="0.3">
      <c r="A638" s="13" t="s">
        <v>362</v>
      </c>
      <c r="B638" s="14" t="str">
        <f>HYPERLINK("http://apps.fcc.gov/ecfs/document/view?id=7521088659","Expression of Interest Letter for Broadband Experiments (2 pages)")</f>
        <v>Expression of Interest Letter for Broadband Experiments (2 pages)</v>
      </c>
      <c r="C638" s="15" t="s">
        <v>854</v>
      </c>
      <c r="D638" s="16"/>
      <c r="E638" s="17" t="s">
        <v>964</v>
      </c>
    </row>
    <row r="639" spans="1:5" s="28" customFormat="1" ht="27.6" x14ac:dyDescent="0.3">
      <c r="A639" s="13" t="s">
        <v>280</v>
      </c>
      <c r="B639" s="14" t="str">
        <f>HYPERLINK("http://apps.fcc.gov/ecfs/document/view?id=7521088771","NVC EOI Rural CAF Experiment (3 pages)")</f>
        <v>NVC EOI Rural CAF Experiment (3 pages)</v>
      </c>
      <c r="C639" s="15" t="s">
        <v>855</v>
      </c>
      <c r="D639" s="16"/>
      <c r="E639" s="17" t="s">
        <v>1057</v>
      </c>
    </row>
    <row r="640" spans="1:5" s="28" customFormat="1" ht="27.6" x14ac:dyDescent="0.3">
      <c r="A640" s="13" t="s">
        <v>45</v>
      </c>
      <c r="B640" s="14" t="str">
        <f>HYPERLINK("http://apps.fcc.gov/ecfs/document/view?id=7521089303","Expression of Interest Comment (2 pages)")</f>
        <v>Expression of Interest Comment (2 pages)</v>
      </c>
      <c r="C640" s="15" t="s">
        <v>854</v>
      </c>
      <c r="D640" s="16"/>
      <c r="E640" s="17" t="s">
        <v>927</v>
      </c>
    </row>
    <row r="641" spans="1:5" s="28" customFormat="1" ht="13.8" x14ac:dyDescent="0.3">
      <c r="A641" s="13" t="s">
        <v>437</v>
      </c>
      <c r="B641" s="14" t="str">
        <f>HYPERLINK("http://apps.fcc.gov/ecfs/document/view?id=7521088438","  (24 pages)")</f>
        <v xml:space="preserve">  (24 pages)</v>
      </c>
      <c r="C641" s="15" t="s">
        <v>880</v>
      </c>
      <c r="D641" s="16"/>
      <c r="E641" s="17"/>
    </row>
    <row r="642" spans="1:5" s="28" customFormat="1" ht="27.6" x14ac:dyDescent="0.3">
      <c r="A642" s="29" t="s">
        <v>672</v>
      </c>
      <c r="B642" s="24" t="str">
        <f>HYPERLINK("http://apps.fcc.gov/ecfs/document/view?id=7521089579","  (3 pages)")</f>
        <v xml:space="preserve">  (3 pages)</v>
      </c>
      <c r="C642" s="17" t="s">
        <v>855</v>
      </c>
      <c r="D642" s="26" t="s">
        <v>1155</v>
      </c>
      <c r="E642" s="40" t="s">
        <v>1156</v>
      </c>
    </row>
    <row r="643" spans="1:5" s="28" customFormat="1" ht="13.8" x14ac:dyDescent="0.3">
      <c r="A643" s="13" t="s">
        <v>535</v>
      </c>
      <c r="B643" s="14" t="str">
        <f>HYPERLINK("http://apps.fcc.gov/ecfs/document/view?id=7521083759","Expression of Interest (9 pages)")</f>
        <v>Expression of Interest (9 pages)</v>
      </c>
      <c r="C643" s="15" t="s">
        <v>860</v>
      </c>
      <c r="D643" s="16"/>
      <c r="E643" s="17" t="s">
        <v>942</v>
      </c>
    </row>
    <row r="644" spans="1:5" s="28" customFormat="1" ht="27.6" x14ac:dyDescent="0.3">
      <c r="A644" s="13" t="s">
        <v>287</v>
      </c>
      <c r="B644" s="14" t="str">
        <f>HYPERLINK("http://apps.fcc.gov/ecfs/document/view?id=7521088876","Rural Broadband Experiment Expression of Interest (3 pages)")</f>
        <v>Rural Broadband Experiment Expression of Interest (3 pages)</v>
      </c>
      <c r="C644" s="15" t="s">
        <v>855</v>
      </c>
      <c r="D644" s="16"/>
      <c r="E644" s="17" t="s">
        <v>942</v>
      </c>
    </row>
    <row r="645" spans="1:5" s="28" customFormat="1" ht="13.8" x14ac:dyDescent="0.3">
      <c r="A645" s="29" t="s">
        <v>671</v>
      </c>
      <c r="B645" s="24" t="str">
        <f>HYPERLINK("http://apps.fcc.gov/ecfs/document/view?id=7521089824","  (7 pages)")</f>
        <v xml:space="preserve">  (7 pages)</v>
      </c>
      <c r="C645" s="17" t="s">
        <v>876</v>
      </c>
      <c r="D645" s="26"/>
      <c r="E645" s="17" t="s">
        <v>939</v>
      </c>
    </row>
    <row r="646" spans="1:5" s="28" customFormat="1" ht="13.8" x14ac:dyDescent="0.3">
      <c r="A646" s="13" t="s">
        <v>279</v>
      </c>
      <c r="B646" s="14" t="str">
        <f>HYPERLINK("http://apps.fcc.gov/ecfs/document/view?id=7521088878","WC 10 90 EOI (3 pages)")</f>
        <v>WC 10 90 EOI (3 pages)</v>
      </c>
      <c r="C646" s="15" t="s">
        <v>855</v>
      </c>
      <c r="D646" s="16"/>
      <c r="E646" s="17" t="s">
        <v>1020</v>
      </c>
    </row>
    <row r="647" spans="1:5" s="28" customFormat="1" ht="13.8" x14ac:dyDescent="0.3">
      <c r="A647" s="29" t="s">
        <v>907</v>
      </c>
      <c r="B647" s="24" t="str">
        <f>HYPERLINK("http://apps.fcc.gov/ecfs/document/view?id=7521090273","Expression of Interest (2 pages)")</f>
        <v>Expression of Interest (2 pages)</v>
      </c>
      <c r="C647" s="30" t="s">
        <v>854</v>
      </c>
      <c r="D647" s="26"/>
      <c r="E647" s="17" t="s">
        <v>943</v>
      </c>
    </row>
    <row r="648" spans="1:5" s="28" customFormat="1" ht="27.6" x14ac:dyDescent="0.3">
      <c r="A648" s="29" t="s">
        <v>663</v>
      </c>
      <c r="B648" s="24" t="str">
        <f>HYPERLINK("http://apps.fcc.gov/ecfs/document/view?id=7521089665","Oklahoma Western Telco Expression of Interest for IP Trials (4 pages)")</f>
        <v>Oklahoma Western Telco Expression of Interest for IP Trials (4 pages)</v>
      </c>
      <c r="C648" s="17" t="s">
        <v>859</v>
      </c>
      <c r="D648" s="26"/>
      <c r="E648" s="17" t="s">
        <v>965</v>
      </c>
    </row>
    <row r="649" spans="1:5" s="28" customFormat="1" ht="13.8" x14ac:dyDescent="0.3">
      <c r="A649" s="29" t="s">
        <v>662</v>
      </c>
      <c r="B649" s="24" t="str">
        <f>HYPERLINK("http://apps.fcc.gov/ecfs/document/view?id=7521089500","OmniTel Communications (6 pages)")</f>
        <v>OmniTel Communications (6 pages)</v>
      </c>
      <c r="C649" s="17" t="s">
        <v>856</v>
      </c>
      <c r="D649" s="26"/>
      <c r="E649" s="17" t="s">
        <v>935</v>
      </c>
    </row>
    <row r="650" spans="1:5" s="28" customFormat="1" ht="27.6" x14ac:dyDescent="0.3">
      <c r="A650" s="29" t="s">
        <v>662</v>
      </c>
      <c r="B650" s="24" t="str">
        <f>HYPERLINK("http://apps.fcc.gov/ecfs/document/view?id=7521090426","OmniTel Rural CAF EOI Floyd Mitchell (4 pages)")</f>
        <v>OmniTel Rural CAF EOI Floyd Mitchell (4 pages)</v>
      </c>
      <c r="C650" s="30" t="s">
        <v>859</v>
      </c>
      <c r="D650" s="26"/>
      <c r="E650" s="17" t="s">
        <v>935</v>
      </c>
    </row>
    <row r="651" spans="1:5" s="28" customFormat="1" ht="27.6" x14ac:dyDescent="0.3">
      <c r="A651" s="29" t="s">
        <v>662</v>
      </c>
      <c r="B651" s="24" t="str">
        <f>HYPERLINK("http://apps.fcc.gov/ecfs/document/view?id=7521092144","Rural CAF EOI OmniTel IA CAF Consortium (4 pages)")</f>
        <v>Rural CAF EOI OmniTel IA CAF Consortium (4 pages)</v>
      </c>
      <c r="C651" s="30" t="s">
        <v>859</v>
      </c>
      <c r="D651" s="29"/>
      <c r="E651" s="17" t="s">
        <v>935</v>
      </c>
    </row>
    <row r="652" spans="1:5" s="28" customFormat="1" ht="13.8" x14ac:dyDescent="0.3">
      <c r="A652" s="29" t="s">
        <v>661</v>
      </c>
      <c r="B652" s="24" t="str">
        <f>HYPERLINK("http://apps.fcc.gov/ecfs/document/view?id=7521089651","  (6 pages)")</f>
        <v xml:space="preserve">  (6 pages)</v>
      </c>
      <c r="C652" s="17" t="s">
        <v>856</v>
      </c>
      <c r="D652" s="26"/>
      <c r="E652" s="17" t="s">
        <v>933</v>
      </c>
    </row>
    <row r="653" spans="1:5" s="28" customFormat="1" ht="27.6" x14ac:dyDescent="0.3">
      <c r="A653" s="29" t="s">
        <v>660</v>
      </c>
      <c r="B653" s="24" t="str">
        <f>HYPERLINK("http://apps.fcc.gov/ecfs/document/view?id=7521089482","Expression of Interest (1 page)")</f>
        <v>Expression of Interest (1 page)</v>
      </c>
      <c r="C653" s="17" t="s">
        <v>862</v>
      </c>
      <c r="D653" s="26"/>
      <c r="E653" s="17" t="s">
        <v>963</v>
      </c>
    </row>
    <row r="654" spans="1:5" s="28" customFormat="1" ht="27.6" x14ac:dyDescent="0.3">
      <c r="A654" s="29" t="s">
        <v>659</v>
      </c>
      <c r="B654" s="24" t="str">
        <f>HYPERLINK("http://apps.fcc.gov/ecfs/document/view?id=7521089568","Expression of Interest FNPR FCC 14 5 (6 pages)")</f>
        <v>Expression of Interest FNPR FCC 14 5 (6 pages)</v>
      </c>
      <c r="C654" s="17" t="s">
        <v>856</v>
      </c>
      <c r="D654" s="26"/>
      <c r="E654" s="17" t="s">
        <v>970</v>
      </c>
    </row>
    <row r="655" spans="1:5" s="28" customFormat="1" ht="13.8" x14ac:dyDescent="0.3">
      <c r="A655" s="13" t="s">
        <v>43</v>
      </c>
      <c r="B655" s="14" t="str">
        <f>HYPERLINK("http://apps.fcc.gov/ecfs/document/view?id=7521089419","Expression of Interest (5 pages)")</f>
        <v>Expression of Interest (5 pages)</v>
      </c>
      <c r="C655" s="15" t="s">
        <v>857</v>
      </c>
      <c r="D655" s="16"/>
      <c r="E655" s="17" t="s">
        <v>927</v>
      </c>
    </row>
    <row r="656" spans="1:5" s="28" customFormat="1" ht="13.8" x14ac:dyDescent="0.3">
      <c r="A656" s="28" t="s">
        <v>1152</v>
      </c>
      <c r="B656" s="10" t="str">
        <f>HYPERLINK("http://apps.fcc.gov/ecfs/document/view?id=7521094267","  (5 pages)")</f>
        <v xml:space="preserve">  (5 pages)</v>
      </c>
      <c r="C656" s="17" t="s">
        <v>857</v>
      </c>
      <c r="D656" s="29"/>
      <c r="E656" s="28" t="s">
        <v>1184</v>
      </c>
    </row>
    <row r="657" spans="1:5" s="28" customFormat="1" ht="41.4" x14ac:dyDescent="0.3">
      <c r="A657" s="13" t="s">
        <v>44</v>
      </c>
      <c r="B657" s="14" t="str">
        <f>HYPERLINK("http://apps.fcc.gov/ecfs/document/view?id=7521089397","Rural Broadband Experiments Expression of Interest Documents (14 pages)")</f>
        <v>Rural Broadband Experiments Expression of Interest Documents (14 pages)</v>
      </c>
      <c r="C657" s="15" t="s">
        <v>867</v>
      </c>
      <c r="D657" s="16"/>
      <c r="E657" s="17" t="s">
        <v>976</v>
      </c>
    </row>
    <row r="658" spans="1:5" s="28" customFormat="1" ht="13.8" x14ac:dyDescent="0.3">
      <c r="A658" s="13" t="s">
        <v>44</v>
      </c>
      <c r="B658" s="14"/>
      <c r="C658" s="15"/>
      <c r="D658" s="16"/>
      <c r="E658" s="17" t="s">
        <v>976</v>
      </c>
    </row>
    <row r="659" spans="1:5" s="28" customFormat="1" ht="13.8" x14ac:dyDescent="0.3">
      <c r="A659" s="13" t="s">
        <v>432</v>
      </c>
      <c r="B659" s="14" t="str">
        <f>HYPERLINK("http://apps.fcc.gov/ecfs/document/view?id=7521088442","  (4 pages)")</f>
        <v xml:space="preserve">  (4 pages)</v>
      </c>
      <c r="C659" s="15" t="s">
        <v>859</v>
      </c>
      <c r="D659" s="16"/>
      <c r="E659" s="17" t="s">
        <v>980</v>
      </c>
    </row>
    <row r="660" spans="1:5" s="28" customFormat="1" ht="13.8" x14ac:dyDescent="0.3">
      <c r="A660" s="13" t="s">
        <v>168</v>
      </c>
      <c r="B660" s="14" t="str">
        <f>HYPERLINK("http://apps.fcc.gov/ecfs/document/view?id=7521089167","  (2 pages)")</f>
        <v xml:space="preserve">  (2 pages)</v>
      </c>
      <c r="C660" s="15" t="s">
        <v>854</v>
      </c>
      <c r="D660" s="16"/>
      <c r="E660" s="17" t="s">
        <v>2</v>
      </c>
    </row>
    <row r="661" spans="1:5" s="28" customFormat="1" ht="13.8" x14ac:dyDescent="0.3">
      <c r="A661" s="13" t="s">
        <v>167</v>
      </c>
      <c r="B661" s="14" t="str">
        <f>HYPERLINK("http://apps.fcc.gov/ecfs/document/view?id=7521089145","  (2 pages)")</f>
        <v xml:space="preserve">  (2 pages)</v>
      </c>
      <c r="C661" s="15" t="s">
        <v>854</v>
      </c>
      <c r="D661" s="16"/>
      <c r="E661" s="17" t="s">
        <v>968</v>
      </c>
    </row>
    <row r="662" spans="1:5" s="28" customFormat="1" ht="13.8" x14ac:dyDescent="0.3">
      <c r="A662" s="13" t="s">
        <v>166</v>
      </c>
      <c r="B662" s="14" t="str">
        <f>HYPERLINK("http://apps.fcc.gov/ecfs/document/view?id=7521089170","  (2 pages)")</f>
        <v xml:space="preserve">  (2 pages)</v>
      </c>
      <c r="C662" s="15" t="s">
        <v>854</v>
      </c>
      <c r="D662" s="16"/>
      <c r="E662" s="17" t="s">
        <v>968</v>
      </c>
    </row>
    <row r="663" spans="1:5" s="28" customFormat="1" ht="27.6" x14ac:dyDescent="0.3">
      <c r="A663" s="29" t="s">
        <v>893</v>
      </c>
      <c r="B663" s="24" t="str">
        <f>HYPERLINK("http://apps.fcc.gov/ecfs/document/view?id=7521091558","Expression of Interest Rural Trials Docket No 10 90 (3 pages)")</f>
        <v>Expression of Interest Rural Trials Docket No 10 90 (3 pages)</v>
      </c>
      <c r="C663" s="30" t="s">
        <v>856</v>
      </c>
      <c r="D663" s="26"/>
      <c r="E663" s="17" t="s">
        <v>939</v>
      </c>
    </row>
    <row r="664" spans="1:5" s="28" customFormat="1" ht="27.6" x14ac:dyDescent="0.3">
      <c r="A664" s="13" t="s">
        <v>42</v>
      </c>
      <c r="B664" s="14" t="str">
        <f>HYPERLINK("http://apps.fcc.gov/ecfs/document/view?id=7521089382","Rural Broadband Expression of Interest Project 2 (4 pages)")</f>
        <v>Rural Broadband Expression of Interest Project 2 (4 pages)</v>
      </c>
      <c r="C664" s="15" t="s">
        <v>859</v>
      </c>
      <c r="D664" s="16"/>
      <c r="E664" s="17" t="s">
        <v>964</v>
      </c>
    </row>
    <row r="665" spans="1:5" s="28" customFormat="1" ht="27.6" x14ac:dyDescent="0.3">
      <c r="A665" s="13" t="s">
        <v>42</v>
      </c>
      <c r="B665" s="14" t="str">
        <f>HYPERLINK("http://apps.fcc.gov/ecfs/document/view?id=7521089372","Rural Broadband Expression of Interest Project 1 (4 pages)")</f>
        <v>Rural Broadband Expression of Interest Project 1 (4 pages)</v>
      </c>
      <c r="C665" s="15" t="s">
        <v>859</v>
      </c>
      <c r="D665" s="16"/>
      <c r="E665" s="17" t="s">
        <v>964</v>
      </c>
    </row>
    <row r="666" spans="1:5" s="28" customFormat="1" ht="13.8" x14ac:dyDescent="0.3">
      <c r="A666" s="29" t="s">
        <v>908</v>
      </c>
      <c r="B666" s="24" t="str">
        <f>HYPERLINK("http://apps.fcc.gov/ecfs/document/view?id=7521090231","Letter of Interest (3 pages)")</f>
        <v>Letter of Interest (3 pages)</v>
      </c>
      <c r="C666" s="30" t="s">
        <v>855</v>
      </c>
      <c r="D666" s="26"/>
      <c r="E666" s="17" t="s">
        <v>979</v>
      </c>
    </row>
    <row r="667" spans="1:5" s="28" customFormat="1" ht="13.8" x14ac:dyDescent="0.3">
      <c r="A667" s="13" t="s">
        <v>485</v>
      </c>
      <c r="B667" s="14" t="str">
        <f>HYPERLINK("http://apps.fcc.gov/ecfs/document/view?id=7521087950","  (2 pages)")</f>
        <v xml:space="preserve">  (2 pages)</v>
      </c>
      <c r="C667" s="15" t="s">
        <v>854</v>
      </c>
      <c r="D667" s="16"/>
      <c r="E667" s="17" t="s">
        <v>938</v>
      </c>
    </row>
    <row r="668" spans="1:5" s="28" customFormat="1" ht="13.8" x14ac:dyDescent="0.3">
      <c r="A668" s="29" t="s">
        <v>658</v>
      </c>
      <c r="B668" s="24" t="str">
        <f>HYPERLINK("http://apps.fcc.gov/ecfs/document/view?id=7521089453","  (26 pages)")</f>
        <v xml:space="preserve">  (26 pages)</v>
      </c>
      <c r="C668" s="17" t="s">
        <v>884</v>
      </c>
      <c r="D668" s="26"/>
      <c r="E668" s="17" t="s">
        <v>929</v>
      </c>
    </row>
    <row r="669" spans="1:5" s="28" customFormat="1" ht="13.8" x14ac:dyDescent="0.3">
      <c r="A669" s="13" t="s">
        <v>431</v>
      </c>
      <c r="B669" s="14" t="str">
        <f>HYPERLINK("http://apps.fcc.gov/ecfs/document/view?id=7521088572","  (3 pages)")</f>
        <v xml:space="preserve">  (3 pages)</v>
      </c>
      <c r="C669" s="15" t="s">
        <v>855</v>
      </c>
      <c r="D669" s="16"/>
      <c r="E669" s="17" t="s">
        <v>979</v>
      </c>
    </row>
    <row r="670" spans="1:5" s="28" customFormat="1" ht="41.4" x14ac:dyDescent="0.3">
      <c r="A670" s="29" t="s">
        <v>654</v>
      </c>
      <c r="B670" s="24" t="str">
        <f>HYPERLINK("http://apps.fcc.gov/ecfs/document/view?id=7521089664","Pacific Lightwave Expression of Interest in Broadband Experiment WC Docket No  (3 pages)")</f>
        <v>Pacific Lightwave Expression of Interest in Broadband Experiment WC Docket No  (3 pages)</v>
      </c>
      <c r="C670" s="17" t="s">
        <v>855</v>
      </c>
      <c r="D670" s="26"/>
      <c r="E670" s="17" t="s">
        <v>928</v>
      </c>
    </row>
    <row r="671" spans="1:5" s="28" customFormat="1" ht="27.6" x14ac:dyDescent="0.3">
      <c r="A671" s="13" t="s">
        <v>278</v>
      </c>
      <c r="B671" s="14" t="str">
        <f>HYPERLINK("http://apps.fcc.gov/ecfs/document/view?id=7521088776","Letter of Interest re Rural Broadband Experiments (20 pages)")</f>
        <v>Letter of Interest re Rural Broadband Experiments (20 pages)</v>
      </c>
      <c r="C671" s="15" t="s">
        <v>875</v>
      </c>
      <c r="D671" s="16"/>
      <c r="E671" s="17" t="s">
        <v>1084</v>
      </c>
    </row>
    <row r="672" spans="1:5" s="28" customFormat="1" ht="27.6" x14ac:dyDescent="0.3">
      <c r="A672" s="13" t="s">
        <v>430</v>
      </c>
      <c r="B672" s="14" t="str">
        <f>HYPERLINK("http://apps.fcc.gov/ecfs/document/view?id=7521088583","Rural Broadband Experiment Expression of Interest (5 pages)")</f>
        <v>Rural Broadband Experiment Expression of Interest (5 pages)</v>
      </c>
      <c r="C672" s="15" t="s">
        <v>857</v>
      </c>
      <c r="D672" s="16"/>
      <c r="E672" s="17" t="s">
        <v>970</v>
      </c>
    </row>
    <row r="673" spans="1:5" s="28" customFormat="1" ht="13.8" x14ac:dyDescent="0.3">
      <c r="A673" s="13" t="s">
        <v>41</v>
      </c>
      <c r="B673" s="14" t="str">
        <f>HYPERLINK("http://apps.fcc.gov/ecfs/document/view?id=7521089420","Expression of Interest (4 pages)")</f>
        <v>Expression of Interest (4 pages)</v>
      </c>
      <c r="C673" s="15" t="s">
        <v>859</v>
      </c>
      <c r="D673" s="16"/>
      <c r="E673" s="17" t="s">
        <v>924</v>
      </c>
    </row>
    <row r="674" spans="1:5" s="28" customFormat="1" ht="13.8" x14ac:dyDescent="0.3">
      <c r="A674" s="29" t="s">
        <v>653</v>
      </c>
      <c r="B674" s="24" t="str">
        <f>HYPERLINK("http://apps.fcc.gov/ecfs/document/view?id=7521089477","  (4 pages)")</f>
        <v xml:space="preserve">  (4 pages)</v>
      </c>
      <c r="C674" s="17" t="s">
        <v>859</v>
      </c>
      <c r="D674" s="26"/>
      <c r="E674" s="17" t="s">
        <v>1135</v>
      </c>
    </row>
    <row r="675" spans="1:5" s="28" customFormat="1" ht="27.6" x14ac:dyDescent="0.3">
      <c r="A675" s="13" t="s">
        <v>277</v>
      </c>
      <c r="B675" s="14" t="str">
        <f>HYPERLINK("http://apps.fcc.gov/ecfs/document/view?id=7521088962","Expression of Intent (3 pages)")</f>
        <v>Expression of Intent (3 pages)</v>
      </c>
      <c r="C675" s="15" t="s">
        <v>855</v>
      </c>
      <c r="D675" s="16" t="s">
        <v>1126</v>
      </c>
      <c r="E675" s="17" t="s">
        <v>933</v>
      </c>
    </row>
    <row r="676" spans="1:5" s="28" customFormat="1" ht="41.4" x14ac:dyDescent="0.3">
      <c r="A676" s="29" t="s">
        <v>652</v>
      </c>
      <c r="B676" s="24" t="str">
        <f>HYPERLINK("http://apps.fcc.gov/ecfs/document/view?id=7521089567","Panora Communications Coop and Guthrie Telecommunications Network Inc Rural CAF (4 pages)")</f>
        <v>Panora Communications Coop and Guthrie Telecommunications Network Inc Rural CAF (4 pages)</v>
      </c>
      <c r="C676" s="17" t="s">
        <v>859</v>
      </c>
      <c r="D676" s="26"/>
      <c r="E676" s="17" t="s">
        <v>935</v>
      </c>
    </row>
    <row r="677" spans="1:5" s="28" customFormat="1" ht="13.8" x14ac:dyDescent="0.3">
      <c r="A677" s="13" t="s">
        <v>534</v>
      </c>
      <c r="B677" s="14" t="str">
        <f>HYPERLINK("http://apps.fcc.gov/ecfs/document/view?id=7521084007","Expression of Interest (2 pages)")</f>
        <v>Expression of Interest (2 pages)</v>
      </c>
      <c r="C677" s="15" t="s">
        <v>854</v>
      </c>
      <c r="D677" s="16"/>
      <c r="E677" s="17" t="s">
        <v>931</v>
      </c>
    </row>
    <row r="678" spans="1:5" s="28" customFormat="1" ht="13.8" x14ac:dyDescent="0.3">
      <c r="A678" s="29" t="s">
        <v>651</v>
      </c>
      <c r="B678" s="24" t="str">
        <f>HYPERLINK("http://apps.fcc.gov/ecfs/document/view?id=7521089831","  (4 pages)")</f>
        <v xml:space="preserve">  (4 pages)</v>
      </c>
      <c r="C678" s="17" t="s">
        <v>859</v>
      </c>
      <c r="D678" s="26"/>
      <c r="E678" s="17" t="s">
        <v>925</v>
      </c>
    </row>
    <row r="679" spans="1:5" s="28" customFormat="1" ht="13.8" x14ac:dyDescent="0.3">
      <c r="A679" s="13" t="s">
        <v>39</v>
      </c>
      <c r="B679" s="14" t="str">
        <f>HYPERLINK("http://apps.fcc.gov/ecfs/document/view?id=7521089396","  (2 pages)")</f>
        <v xml:space="preserve">  (2 pages)</v>
      </c>
      <c r="C679" s="15" t="s">
        <v>854</v>
      </c>
      <c r="D679" s="16"/>
      <c r="E679" s="17" t="s">
        <v>935</v>
      </c>
    </row>
    <row r="680" spans="1:5" s="28" customFormat="1" ht="13.8" x14ac:dyDescent="0.3">
      <c r="A680" s="29" t="s">
        <v>39</v>
      </c>
      <c r="B680" s="24" t="str">
        <f>HYPERLINK("http://apps.fcc.gov/ecfs/document/view?id=7521089502","  (2 pages)")</f>
        <v xml:space="preserve">  (2 pages)</v>
      </c>
      <c r="C680" s="17" t="s">
        <v>854</v>
      </c>
      <c r="D680" s="26"/>
      <c r="E680" s="17" t="s">
        <v>935</v>
      </c>
    </row>
    <row r="681" spans="1:5" s="28" customFormat="1" ht="13.8" x14ac:dyDescent="0.3">
      <c r="A681" s="29" t="s">
        <v>650</v>
      </c>
      <c r="B681" s="24" t="str">
        <f>HYPERLINK("http://apps.fcc.gov/ecfs/document/view?id=7521089666","Expresion of Interest (2 pages)")</f>
        <v>Expresion of Interest (2 pages)</v>
      </c>
      <c r="C681" s="17" t="s">
        <v>854</v>
      </c>
      <c r="D681" s="26"/>
      <c r="E681" s="17" t="s">
        <v>943</v>
      </c>
    </row>
    <row r="682" spans="1:5" s="28" customFormat="1" ht="27.6" x14ac:dyDescent="0.3">
      <c r="A682" s="29" t="s">
        <v>900</v>
      </c>
      <c r="B682" s="24" t="str">
        <f>HYPERLINK("http://apps.fcc.gov/ecfs/document/view?id=7521090688","  (7 pages)")</f>
        <v xml:space="preserve">  (7 pages)</v>
      </c>
      <c r="C682" s="30" t="s">
        <v>866</v>
      </c>
      <c r="D682" s="26" t="s">
        <v>1159</v>
      </c>
      <c r="E682" s="17" t="s">
        <v>932</v>
      </c>
    </row>
    <row r="683" spans="1:5" s="28" customFormat="1" ht="13.8" x14ac:dyDescent="0.3">
      <c r="A683" s="13" t="s">
        <v>164</v>
      </c>
      <c r="B683" s="14" t="str">
        <f>HYPERLINK("http://apps.fcc.gov/ecfs/document/view?id=7521089156","  (2 pages)")</f>
        <v xml:space="preserve">  (2 pages)</v>
      </c>
      <c r="C683" s="15" t="s">
        <v>854</v>
      </c>
      <c r="D683" s="16" t="s">
        <v>1019</v>
      </c>
      <c r="E683" s="17" t="s">
        <v>936</v>
      </c>
    </row>
    <row r="684" spans="1:5" s="28" customFormat="1" ht="27.6" x14ac:dyDescent="0.3">
      <c r="A684" s="13" t="s">
        <v>276</v>
      </c>
      <c r="B684" s="14" t="str">
        <f>HYPERLINK("http://apps.fcc.gov/ecfs/document/view?id=7521088768","Expression of Interest Letter Rural Trials (14 pages)")</f>
        <v>Expression of Interest Letter Rural Trials (14 pages)</v>
      </c>
      <c r="C684" s="15" t="s">
        <v>867</v>
      </c>
      <c r="D684" s="16"/>
      <c r="E684" s="17" t="s">
        <v>964</v>
      </c>
    </row>
    <row r="685" spans="1:5" s="28" customFormat="1" ht="13.8" x14ac:dyDescent="0.3">
      <c r="A685" s="29" t="s">
        <v>657</v>
      </c>
      <c r="B685" s="24" t="str">
        <f>HYPERLINK("http://apps.fcc.gov/ecfs/document/view?id=7521089565","  (3 pages)")</f>
        <v xml:space="preserve">  (3 pages)</v>
      </c>
      <c r="C685" s="17" t="s">
        <v>855</v>
      </c>
      <c r="D685" s="26"/>
      <c r="E685" s="17" t="s">
        <v>970</v>
      </c>
    </row>
    <row r="686" spans="1:5" s="28" customFormat="1" ht="13.8" x14ac:dyDescent="0.3">
      <c r="A686" s="29" t="s">
        <v>656</v>
      </c>
      <c r="B686" s="24" t="str">
        <f>HYPERLINK("http://apps.fcc.gov/ecfs/document/view?id=7521089524"," Docket 10 90 (3 pages)")</f>
        <v xml:space="preserve"> Docket 10 90 (3 pages)</v>
      </c>
      <c r="C686" s="17" t="s">
        <v>855</v>
      </c>
      <c r="D686" s="26"/>
      <c r="E686" s="17" t="s">
        <v>942</v>
      </c>
    </row>
    <row r="687" spans="1:5" s="28" customFormat="1" ht="13.8" x14ac:dyDescent="0.3">
      <c r="A687" s="29" t="s">
        <v>649</v>
      </c>
      <c r="B687" s="24" t="str">
        <f>HYPERLINK("http://apps.fcc.gov/ecfs/document/view?id=7521089834","  (4 pages)")</f>
        <v xml:space="preserve">  (4 pages)</v>
      </c>
      <c r="C687" s="17" t="s">
        <v>859</v>
      </c>
      <c r="D687" s="26"/>
      <c r="E687" s="17" t="s">
        <v>926</v>
      </c>
    </row>
    <row r="688" spans="1:5" s="28" customFormat="1" ht="13.8" x14ac:dyDescent="0.3">
      <c r="A688" s="29" t="s">
        <v>648</v>
      </c>
      <c r="B688" s="24" t="str">
        <f>HYPERLINK("http://apps.fcc.gov/ecfs/document/view?id=7521089786","Expression of Interest Letter (4 pages)")</f>
        <v>Expression of Interest Letter (4 pages)</v>
      </c>
      <c r="C688" s="17" t="s">
        <v>859</v>
      </c>
      <c r="D688" s="26"/>
      <c r="E688" s="17" t="s">
        <v>970</v>
      </c>
    </row>
    <row r="689" spans="1:5" s="28" customFormat="1" ht="27.6" x14ac:dyDescent="0.3">
      <c r="A689" s="13" t="s">
        <v>361</v>
      </c>
      <c r="B689" s="14" t="str">
        <f>HYPERLINK("http://apps.fcc.gov/ecfs/document/view?id=7521088711","Rural Broadband Experiment Expression of Interest (2 pages)")</f>
        <v>Rural Broadband Experiment Expression of Interest (2 pages)</v>
      </c>
      <c r="C689" s="15" t="s">
        <v>854</v>
      </c>
      <c r="D689" s="16"/>
      <c r="E689" s="17" t="s">
        <v>932</v>
      </c>
    </row>
    <row r="690" spans="1:5" s="28" customFormat="1" ht="13.8" x14ac:dyDescent="0.3">
      <c r="A690" s="29" t="s">
        <v>647</v>
      </c>
      <c r="B690" s="24" t="str">
        <f>HYPERLINK("http://apps.fcc.gov/ecfs/document/view?id=7521089696","  (2 pages)")</f>
        <v xml:space="preserve">  (2 pages)</v>
      </c>
      <c r="C690" s="17" t="s">
        <v>854</v>
      </c>
      <c r="D690" s="26"/>
      <c r="E690" s="17" t="s">
        <v>965</v>
      </c>
    </row>
    <row r="691" spans="1:5" s="28" customFormat="1" ht="27.6" x14ac:dyDescent="0.3">
      <c r="A691" s="29" t="s">
        <v>646</v>
      </c>
      <c r="B691" s="24" t="str">
        <f>HYPERLINK("http://apps.fcc.gov/ecfs/document/view?id=7521089679","Letter of Interest (2 pages)")</f>
        <v>Letter of Interest (2 pages)</v>
      </c>
      <c r="C691" s="17" t="s">
        <v>854</v>
      </c>
      <c r="D691" s="26"/>
      <c r="E691" s="17" t="s">
        <v>938</v>
      </c>
    </row>
    <row r="692" spans="1:5" s="28" customFormat="1" ht="13.8" x14ac:dyDescent="0.3">
      <c r="A692" s="29" t="s">
        <v>645</v>
      </c>
      <c r="B692" s="24" t="str">
        <f>HYPERLINK("http://apps.fcc.gov/ecfs/document/view?id=7521089583","  (3 pages)")</f>
        <v xml:space="preserve">  (3 pages)</v>
      </c>
      <c r="C692" s="17" t="s">
        <v>855</v>
      </c>
      <c r="D692" s="26"/>
      <c r="E692" s="17" t="s">
        <v>930</v>
      </c>
    </row>
    <row r="693" spans="1:5" s="28" customFormat="1" ht="27.6" x14ac:dyDescent="0.3">
      <c r="A693" s="13" t="s">
        <v>38</v>
      </c>
      <c r="B693" s="14" t="str">
        <f>HYPERLINK("http://apps.fcc.gov/ecfs/document/view?id=7521089305","Letter (19 pages)")</f>
        <v>Letter (19 pages)</v>
      </c>
      <c r="C693" s="15" t="s">
        <v>865</v>
      </c>
      <c r="D693" s="16"/>
      <c r="E693" s="17" t="s">
        <v>926</v>
      </c>
    </row>
    <row r="694" spans="1:5" s="28" customFormat="1" ht="13.8" x14ac:dyDescent="0.3">
      <c r="A694" s="29" t="s">
        <v>644</v>
      </c>
      <c r="B694" s="24" t="str">
        <f>HYPERLINK("http://apps.fcc.gov/ecfs/document/view?id=7521089862","Rural Broadband EOI (2 pages)")</f>
        <v>Rural Broadband EOI (2 pages)</v>
      </c>
      <c r="C694" s="17" t="s">
        <v>854</v>
      </c>
      <c r="D694" s="26"/>
      <c r="E694" s="17" t="s">
        <v>931</v>
      </c>
    </row>
    <row r="695" spans="1:5" s="28" customFormat="1" ht="27.6" x14ac:dyDescent="0.3">
      <c r="A695" s="29" t="s">
        <v>643</v>
      </c>
      <c r="B695" s="24" t="str">
        <f>HYPERLINK("http://apps.fcc.gov/ecfs/document/view?id=7521089881","Expression of Interest Person County (3 pages)")</f>
        <v>Expression of Interest Person County (3 pages)</v>
      </c>
      <c r="C695" s="17" t="s">
        <v>879</v>
      </c>
      <c r="D695" s="26"/>
      <c r="E695" s="17" t="s">
        <v>924</v>
      </c>
    </row>
    <row r="696" spans="1:5" s="28" customFormat="1" ht="27.6" x14ac:dyDescent="0.3">
      <c r="A696" s="13" t="s">
        <v>40</v>
      </c>
      <c r="B696" s="14" t="str">
        <f>HYPERLINK("http://apps.fcc.gov/ecfs/document/view?id=7521089287","EOI for Rural Broadband Experiment (7 pages)")</f>
        <v>EOI for Rural Broadband Experiment (7 pages)</v>
      </c>
      <c r="C696" s="15" t="s">
        <v>866</v>
      </c>
      <c r="D696" s="16"/>
      <c r="E696" s="17" t="s">
        <v>973</v>
      </c>
    </row>
    <row r="697" spans="1:5" s="28" customFormat="1" ht="13.8" x14ac:dyDescent="0.3">
      <c r="A697" s="29" t="s">
        <v>642</v>
      </c>
      <c r="B697" s="24" t="str">
        <f>HYPERLINK("http://apps.fcc.gov/ecfs/document/view?id=7521089507","Expression of Interest (2 pages)")</f>
        <v>Expression of Interest (2 pages)</v>
      </c>
      <c r="C697" s="17" t="s">
        <v>854</v>
      </c>
      <c r="D697" s="26" t="s">
        <v>1134</v>
      </c>
      <c r="E697" s="17" t="s">
        <v>959</v>
      </c>
    </row>
    <row r="698" spans="1:5" s="28" customFormat="1" ht="13.8" x14ac:dyDescent="0.3">
      <c r="A698" s="13" t="s">
        <v>549</v>
      </c>
      <c r="B698" s="14" t="str">
        <f>HYPERLINK("http://apps.fcc.gov/ecfs/document/view?id=7521074146","Trial and Testbed Proposal (94 pages)")</f>
        <v>Trial and Testbed Proposal (94 pages)</v>
      </c>
      <c r="C698" s="15" t="s">
        <v>883</v>
      </c>
      <c r="D698" s="16"/>
      <c r="E698" s="17"/>
    </row>
    <row r="699" spans="1:5" s="28" customFormat="1" ht="13.8" x14ac:dyDescent="0.3">
      <c r="A699" s="13" t="s">
        <v>163</v>
      </c>
      <c r="B699" s="14" t="str">
        <f>HYPERLINK("http://apps.fcc.gov/ecfs/document/view?id=7521089067","Letter of Intent 1 of 2  (2 pages)")</f>
        <v>Letter of Intent 1 of 2  (2 pages)</v>
      </c>
      <c r="C699" s="15" t="s">
        <v>854</v>
      </c>
      <c r="D699" s="16"/>
      <c r="E699" s="17" t="s">
        <v>970</v>
      </c>
    </row>
    <row r="700" spans="1:5" s="28" customFormat="1" ht="27.6" x14ac:dyDescent="0.3">
      <c r="A700" s="29" t="s">
        <v>641</v>
      </c>
      <c r="B700" s="24" t="str">
        <f>HYPERLINK("http://apps.fcc.gov/ecfs/document/view?id=7521089848","Pine Belt Cellular Expression of Interest (6 pages)")</f>
        <v>Pine Belt Cellular Expression of Interest (6 pages)</v>
      </c>
      <c r="C700" s="17" t="s">
        <v>856</v>
      </c>
      <c r="D700" s="26"/>
      <c r="E700" s="17" t="s">
        <v>968</v>
      </c>
    </row>
    <row r="701" spans="1:5" s="28" customFormat="1" ht="13.8" x14ac:dyDescent="0.3">
      <c r="A701" s="13" t="s">
        <v>37</v>
      </c>
      <c r="B701" s="14" t="str">
        <f>HYPERLINK("http://apps.fcc.gov/ecfs/document/view?id=7521089344","  (20 pages)")</f>
        <v xml:space="preserve">  (20 pages)</v>
      </c>
      <c r="C701" s="15" t="s">
        <v>864</v>
      </c>
      <c r="D701" s="16"/>
      <c r="E701" s="17" t="s">
        <v>965</v>
      </c>
    </row>
    <row r="702" spans="1:5" s="28" customFormat="1" ht="13.8" x14ac:dyDescent="0.3">
      <c r="A702" s="13" t="s">
        <v>36</v>
      </c>
      <c r="B702" s="14" t="str">
        <f>HYPERLINK("http://apps.fcc.gov/ecfs/document/view?id=7521089316","  (3 pages)")</f>
        <v xml:space="preserve">  (3 pages)</v>
      </c>
      <c r="C702" s="15" t="s">
        <v>855</v>
      </c>
      <c r="D702" s="16"/>
      <c r="E702" s="17" t="s">
        <v>944</v>
      </c>
    </row>
    <row r="703" spans="1:5" s="28" customFormat="1" ht="27.6" x14ac:dyDescent="0.3">
      <c r="A703" s="29" t="s">
        <v>640</v>
      </c>
      <c r="B703" s="24" t="str">
        <f>HYPERLINK("http://apps.fcc.gov/ecfs/document/view?id=7521089718","Pinebelt Broadcasting Expression of Interest (4 pages)")</f>
        <v>Pinebelt Broadcasting Expression of Interest (4 pages)</v>
      </c>
      <c r="C703" s="17" t="s">
        <v>859</v>
      </c>
      <c r="D703" s="26"/>
      <c r="E703" s="17" t="s">
        <v>968</v>
      </c>
    </row>
    <row r="704" spans="1:5" s="28" customFormat="1" ht="13.8" x14ac:dyDescent="0.3">
      <c r="A704" s="13" t="s">
        <v>360</v>
      </c>
      <c r="B704" s="14" t="str">
        <f>HYPERLINK("http://apps.fcc.gov/ecfs/document/view?id=7521088717","  (3 pages)")</f>
        <v xml:space="preserve">  (3 pages)</v>
      </c>
      <c r="C704" s="15" t="s">
        <v>855</v>
      </c>
      <c r="D704" s="16"/>
      <c r="E704" s="17" t="s">
        <v>925</v>
      </c>
    </row>
    <row r="705" spans="1:5" s="28" customFormat="1" ht="13.8" x14ac:dyDescent="0.3">
      <c r="A705" s="29" t="s">
        <v>360</v>
      </c>
      <c r="B705" s="24" t="str">
        <f>HYPERLINK("http://apps.fcc.gov/ecfs/document/view?id=7521089531","  (3 pages)")</f>
        <v xml:space="preserve">  (3 pages)</v>
      </c>
      <c r="C705" s="17" t="s">
        <v>855</v>
      </c>
      <c r="D705" s="26"/>
      <c r="E705" s="17" t="s">
        <v>925</v>
      </c>
    </row>
    <row r="706" spans="1:5" s="28" customFormat="1" ht="13.8" x14ac:dyDescent="0.3">
      <c r="A706" s="29" t="s">
        <v>639</v>
      </c>
      <c r="B706" s="24" t="str">
        <f>HYPERLINK("http://apps.fcc.gov/ecfs/document/view?id=7521089514","  (2 pages)")</f>
        <v xml:space="preserve">  (2 pages)</v>
      </c>
      <c r="C706" s="17" t="s">
        <v>854</v>
      </c>
      <c r="D706" s="26"/>
      <c r="E706" s="17" t="s">
        <v>925</v>
      </c>
    </row>
    <row r="707" spans="1:5" s="28" customFormat="1" ht="13.8" x14ac:dyDescent="0.3">
      <c r="A707" s="13" t="s">
        <v>162</v>
      </c>
      <c r="B707" s="14" t="str">
        <f>HYPERLINK("http://apps.fcc.gov/ecfs/document/view?id=7521089063","  (9 pages)")</f>
        <v xml:space="preserve">  (9 pages)</v>
      </c>
      <c r="C707" s="15" t="s">
        <v>860</v>
      </c>
      <c r="D707" s="16" t="s">
        <v>181</v>
      </c>
      <c r="E707" s="17" t="s">
        <v>1082</v>
      </c>
    </row>
    <row r="708" spans="1:5" s="28" customFormat="1" ht="13.8" x14ac:dyDescent="0.3">
      <c r="A708" s="13" t="s">
        <v>484</v>
      </c>
      <c r="B708" s="14" t="str">
        <f>HYPERLINK("http://apps.fcc.gov/ecfs/document/view?id=7521088136","Expression of Interest Letter (2 pages)")</f>
        <v>Expression of Interest Letter (2 pages)</v>
      </c>
      <c r="C708" s="15" t="s">
        <v>854</v>
      </c>
      <c r="D708" s="16"/>
      <c r="E708" s="17" t="s">
        <v>940</v>
      </c>
    </row>
    <row r="709" spans="1:5" s="28" customFormat="1" ht="27.6" x14ac:dyDescent="0.3">
      <c r="A709" s="29" t="s">
        <v>638</v>
      </c>
      <c r="B709" s="24" t="str">
        <f>HYPERLINK("http://apps.fcc.gov/ecfs/document/view?id=7521089877","Pioneer Broadband Expression of Interest (4 pages)")</f>
        <v>Pioneer Broadband Expression of Interest (4 pages)</v>
      </c>
      <c r="C709" s="17" t="s">
        <v>859</v>
      </c>
      <c r="D709" s="26"/>
      <c r="E709" s="17" t="s">
        <v>969</v>
      </c>
    </row>
    <row r="710" spans="1:5" s="28" customFormat="1" ht="13.8" x14ac:dyDescent="0.3">
      <c r="A710" s="29" t="s">
        <v>637</v>
      </c>
      <c r="B710" s="24" t="str">
        <f>HYPERLINK("http://apps.fcc.gov/ecfs/document/view?id=7521089874","  (5 pages)")</f>
        <v xml:space="preserve">  (5 pages)</v>
      </c>
      <c r="C710" s="17" t="s">
        <v>857</v>
      </c>
      <c r="D710" s="26"/>
      <c r="E710" s="17" t="s">
        <v>930</v>
      </c>
    </row>
    <row r="711" spans="1:5" s="28" customFormat="1" ht="27.6" x14ac:dyDescent="0.3">
      <c r="A711" s="29" t="s">
        <v>915</v>
      </c>
      <c r="B711" s="24" t="str">
        <f>HYPERLINK("http://apps.fcc.gov/ecfs/document/view?id=7521090123","  (4 pages)")</f>
        <v xml:space="preserve">  (4 pages)</v>
      </c>
      <c r="C711" s="30" t="s">
        <v>873</v>
      </c>
      <c r="D711" s="26"/>
      <c r="E711" s="17" t="s">
        <v>969</v>
      </c>
    </row>
    <row r="712" spans="1:5" s="28" customFormat="1" ht="13.8" x14ac:dyDescent="0.3">
      <c r="A712" s="13" t="s">
        <v>359</v>
      </c>
      <c r="B712" s="14" t="str">
        <f>HYPERLINK("http://apps.fcc.gov/ecfs/document/view?id=7521088688","  (2 pages)")</f>
        <v xml:space="preserve">  (2 pages)</v>
      </c>
      <c r="C712" s="15" t="s">
        <v>854</v>
      </c>
      <c r="D712" s="16"/>
      <c r="E712" s="17" t="s">
        <v>925</v>
      </c>
    </row>
    <row r="713" spans="1:5" s="28" customFormat="1" ht="13.8" x14ac:dyDescent="0.3">
      <c r="A713" s="13" t="s">
        <v>358</v>
      </c>
      <c r="B713" s="14" t="str">
        <f>HYPERLINK("http://apps.fcc.gov/ecfs/document/view?id=7521088677","  (2 pages)")</f>
        <v xml:space="preserve">  (2 pages)</v>
      </c>
      <c r="C713" s="15" t="s">
        <v>854</v>
      </c>
      <c r="D713" s="16"/>
      <c r="E713" s="17" t="s">
        <v>925</v>
      </c>
    </row>
    <row r="714" spans="1:5" s="28" customFormat="1" ht="13.8" x14ac:dyDescent="0.3">
      <c r="A714" s="13" t="s">
        <v>483</v>
      </c>
      <c r="B714" s="14" t="str">
        <f>HYPERLINK("http://apps.fcc.gov/ecfs/document/view?id=7521087578","Expression Of Interest (2 pages)")</f>
        <v>Expression Of Interest (2 pages)</v>
      </c>
      <c r="C714" s="15" t="s">
        <v>854</v>
      </c>
      <c r="D714" s="16"/>
      <c r="E714" s="17" t="s">
        <v>925</v>
      </c>
    </row>
    <row r="715" spans="1:5" s="28" customFormat="1" ht="27.6" x14ac:dyDescent="0.3">
      <c r="A715" s="13" t="s">
        <v>161</v>
      </c>
      <c r="B715" s="14" t="str">
        <f>HYPERLINK("http://apps.fcc.gov/ecfs/document/view?id=7521089210","  (7 pages)")</f>
        <v xml:space="preserve">  (7 pages)</v>
      </c>
      <c r="C715" s="15" t="s">
        <v>866</v>
      </c>
      <c r="D715" s="16"/>
      <c r="E715" s="17" t="s">
        <v>928</v>
      </c>
    </row>
    <row r="716" spans="1:5" s="28" customFormat="1" ht="13.8" x14ac:dyDescent="0.3">
      <c r="A716" s="13" t="s">
        <v>275</v>
      </c>
      <c r="B716" s="14" t="str">
        <f>HYPERLINK("http://apps.fcc.gov/ecfs/document/view?id=7521088784","Expression of Interest (2 pages)")</f>
        <v>Expression of Interest (2 pages)</v>
      </c>
      <c r="C716" s="15" t="s">
        <v>854</v>
      </c>
      <c r="D716" s="16"/>
      <c r="E716" s="17" t="s">
        <v>926</v>
      </c>
    </row>
    <row r="717" spans="1:5" s="28" customFormat="1" ht="27.6" x14ac:dyDescent="0.3">
      <c r="A717" s="13" t="s">
        <v>357</v>
      </c>
      <c r="B717" s="14" t="str">
        <f>HYPERLINK("http://apps.fcc.gov/ecfs/document/view?id=7521088682","Port of Whitman County Expression of Interest (10 pages)")</f>
        <v>Port of Whitman County Expression of Interest (10 pages)</v>
      </c>
      <c r="C717" s="15" t="s">
        <v>877</v>
      </c>
      <c r="D717" s="16"/>
      <c r="E717" s="17" t="s">
        <v>927</v>
      </c>
    </row>
    <row r="718" spans="1:5" s="28" customFormat="1" ht="27.6" x14ac:dyDescent="0.3">
      <c r="A718" s="29" t="s">
        <v>655</v>
      </c>
      <c r="B718" s="24" t="str">
        <f>HYPERLINK("http://apps.fcc.gov/ecfs/document/view?id=7521089875","PRTRB Letter of Intent Pages 1 of 10 (1 page)")</f>
        <v>PRTRB Letter of Intent Pages 1 of 10 (1 page)</v>
      </c>
      <c r="C718" s="17" t="s">
        <v>860</v>
      </c>
      <c r="D718" s="26"/>
      <c r="E718" s="17" t="s">
        <v>974</v>
      </c>
    </row>
    <row r="719" spans="1:5" s="28" customFormat="1" ht="13.8" x14ac:dyDescent="0.3">
      <c r="A719" s="13" t="s">
        <v>429</v>
      </c>
      <c r="B719" s="14" t="str">
        <f>HYPERLINK("http://apps.fcc.gov/ecfs/document/view?id=7521088443","  (3 pages)")</f>
        <v xml:space="preserve">  (3 pages)</v>
      </c>
      <c r="C719" s="15" t="s">
        <v>855</v>
      </c>
      <c r="D719" s="16"/>
      <c r="E719" s="17" t="s">
        <v>979</v>
      </c>
    </row>
    <row r="720" spans="1:5" s="28" customFormat="1" ht="13.8" x14ac:dyDescent="0.3">
      <c r="A720" s="13" t="s">
        <v>35</v>
      </c>
      <c r="B720" s="14" t="str">
        <f>HYPERLINK("http://apps.fcc.gov/ecfs/document/view?id=7521089244","Expression of Interest (17 pages)")</f>
        <v>Expression of Interest (17 pages)</v>
      </c>
      <c r="C720" s="15" t="s">
        <v>863</v>
      </c>
      <c r="D720" s="16"/>
      <c r="E720" s="17" t="s">
        <v>959</v>
      </c>
    </row>
    <row r="721" spans="1:5" s="28" customFormat="1" ht="27.6" x14ac:dyDescent="0.3">
      <c r="A721" s="29" t="s">
        <v>636</v>
      </c>
      <c r="B721" s="24" t="str">
        <f>HYPERLINK("http://apps.fcc.gov/ecfs/document/view?id=7521089762","Premier Communications Inc Rural CAF EOI (3 pages)")</f>
        <v>Premier Communications Inc Rural CAF EOI (3 pages)</v>
      </c>
      <c r="C721" s="17" t="s">
        <v>855</v>
      </c>
      <c r="D721" s="26"/>
      <c r="E721" s="17" t="s">
        <v>935</v>
      </c>
    </row>
    <row r="722" spans="1:5" s="28" customFormat="1" ht="13.8" x14ac:dyDescent="0.3">
      <c r="A722" s="13" t="s">
        <v>274</v>
      </c>
      <c r="B722" s="14" t="str">
        <f>HYPERLINK("http://apps.fcc.gov/ecfs/document/view?id=7521088875","  (1 page)")</f>
        <v xml:space="preserve">  (1 page)</v>
      </c>
      <c r="C722" s="15" t="s">
        <v>862</v>
      </c>
      <c r="D722" s="16"/>
      <c r="E722" s="17" t="s">
        <v>942</v>
      </c>
    </row>
    <row r="723" spans="1:5" s="28" customFormat="1" ht="27.6" x14ac:dyDescent="0.3">
      <c r="A723" s="13" t="s">
        <v>526</v>
      </c>
      <c r="B723" s="14" t="str">
        <f>HYPERLINK("http://apps.fcc.gov/ecfs/document/view?id=7521087945","Princeton Massachusetts Expression of Interest (4 pages)")</f>
        <v>Princeton Massachusetts Expression of Interest (4 pages)</v>
      </c>
      <c r="C723" s="15" t="s">
        <v>859</v>
      </c>
      <c r="D723" s="16"/>
      <c r="E723" s="17" t="s">
        <v>1002</v>
      </c>
    </row>
    <row r="724" spans="1:5" s="28" customFormat="1" ht="13.8" x14ac:dyDescent="0.3">
      <c r="A724" s="29" t="s">
        <v>635</v>
      </c>
      <c r="B724" s="24" t="str">
        <f>HYPERLINK("http://apps.fcc.gov/ecfs/document/view?id=7521089598","  (1 page)")</f>
        <v xml:space="preserve">  (1 page)</v>
      </c>
      <c r="C724" s="17" t="s">
        <v>862</v>
      </c>
      <c r="D724" s="26"/>
      <c r="E724" s="17" t="s">
        <v>925</v>
      </c>
    </row>
    <row r="725" spans="1:5" s="28" customFormat="1" ht="13.8" x14ac:dyDescent="0.3">
      <c r="A725" s="29" t="s">
        <v>634</v>
      </c>
      <c r="B725" s="24" t="str">
        <f>HYPERLINK("http://apps.fcc.gov/ecfs/document/view?id=7521089853","  (1 page)")</f>
        <v xml:space="preserve">  (1 page)</v>
      </c>
      <c r="C725" s="17" t="s">
        <v>862</v>
      </c>
      <c r="D725" s="26"/>
      <c r="E725" s="17" t="s">
        <v>1133</v>
      </c>
    </row>
    <row r="726" spans="1:5" s="28" customFormat="1" ht="13.8" x14ac:dyDescent="0.3">
      <c r="A726" s="13" t="s">
        <v>165</v>
      </c>
      <c r="B726" s="14" t="str">
        <f>HYPERLINK("http://apps.fcc.gov/ecfs/document/view?id=7521089074","Letter of Interest (2 pages)")</f>
        <v>Letter of Interest (2 pages)</v>
      </c>
      <c r="C726" s="15" t="s">
        <v>854</v>
      </c>
      <c r="D726" s="16"/>
      <c r="E726" s="17" t="s">
        <v>970</v>
      </c>
    </row>
    <row r="727" spans="1:5" s="28" customFormat="1" ht="13.8" x14ac:dyDescent="0.3">
      <c r="A727" s="29" t="s">
        <v>633</v>
      </c>
      <c r="B727" s="24" t="str">
        <f>HYPERLINK("http://apps.fcc.gov/ecfs/document/view?id=7521089545","  (2 pages)")</f>
        <v xml:space="preserve">  (2 pages)</v>
      </c>
      <c r="C727" s="17" t="s">
        <v>854</v>
      </c>
      <c r="D727" s="26"/>
      <c r="E727" s="17" t="s">
        <v>925</v>
      </c>
    </row>
    <row r="728" spans="1:5" s="28" customFormat="1" ht="27.6" x14ac:dyDescent="0.3">
      <c r="A728" s="13" t="s">
        <v>160</v>
      </c>
      <c r="B728" s="14" t="str">
        <f>HYPERLINK("http://apps.fcc.gov/ecfs/document/view?id=7521089216","Letter (3 pages)")</f>
        <v>Letter (3 pages)</v>
      </c>
      <c r="C728" s="15" t="s">
        <v>855</v>
      </c>
      <c r="D728" s="16"/>
      <c r="E728" s="17" t="s">
        <v>925</v>
      </c>
    </row>
    <row r="729" spans="1:5" s="28" customFormat="1" ht="13.8" x14ac:dyDescent="0.3">
      <c r="A729" s="13" t="s">
        <v>356</v>
      </c>
      <c r="B729" s="14" t="str">
        <f>HYPERLINK("http://apps.fcc.gov/ecfs/document/view?id=7521088705","Expression of Interest (5 pages)")</f>
        <v>Expression of Interest (5 pages)</v>
      </c>
      <c r="C729" s="15" t="s">
        <v>857</v>
      </c>
      <c r="D729" s="16"/>
      <c r="E729" s="17" t="s">
        <v>938</v>
      </c>
    </row>
    <row r="730" spans="1:5" s="28" customFormat="1" ht="27.6" x14ac:dyDescent="0.3">
      <c r="A730" s="29" t="s">
        <v>632</v>
      </c>
      <c r="B730" s="24" t="str">
        <f>HYPERLINK("http://apps.fcc.gov/ecfs/document/view?id=7521089238","R M Greene Inc Rural Broadband (7 pages)")</f>
        <v>R M Greene Inc Rural Broadband (7 pages)</v>
      </c>
      <c r="C730" s="17" t="s">
        <v>866</v>
      </c>
      <c r="D730" s="26" t="s">
        <v>1132</v>
      </c>
      <c r="E730" s="17" t="s">
        <v>968</v>
      </c>
    </row>
    <row r="731" spans="1:5" s="28" customFormat="1" ht="13.8" x14ac:dyDescent="0.3">
      <c r="A731" s="13" t="s">
        <v>157</v>
      </c>
      <c r="B731" s="14" t="str">
        <f>HYPERLINK("http://apps.fcc.gov/ecfs/document/view?id=7521089001","Expression of Interest (3 pages)")</f>
        <v>Expression of Interest (3 pages)</v>
      </c>
      <c r="C731" s="15" t="s">
        <v>855</v>
      </c>
      <c r="D731" s="16"/>
      <c r="E731" s="17" t="s">
        <v>2</v>
      </c>
    </row>
    <row r="732" spans="1:5" s="28" customFormat="1" ht="13.8" x14ac:dyDescent="0.3">
      <c r="A732" s="29" t="s">
        <v>630</v>
      </c>
      <c r="B732" s="24" t="str">
        <f>HYPERLINK("http://apps.fcc.gov/ecfs/document/view?id=7521089192","  (5 pages)")</f>
        <v xml:space="preserve">  (5 pages)</v>
      </c>
      <c r="C732" s="17" t="s">
        <v>856</v>
      </c>
      <c r="D732" s="26" t="s">
        <v>1085</v>
      </c>
      <c r="E732" s="17" t="s">
        <v>942</v>
      </c>
    </row>
    <row r="733" spans="1:5" s="28" customFormat="1" ht="13.8" x14ac:dyDescent="0.3">
      <c r="A733" s="13" t="s">
        <v>273</v>
      </c>
      <c r="B733" s="14" t="str">
        <f>HYPERLINK("http://apps.fcc.gov/ecfs/document/view?id=7521088872","Expression of Interest to FCC (3 pages)")</f>
        <v>Expression of Interest to FCC (3 pages)</v>
      </c>
      <c r="C733" s="15" t="s">
        <v>855</v>
      </c>
      <c r="D733" s="16"/>
      <c r="E733" s="17" t="s">
        <v>928</v>
      </c>
    </row>
    <row r="734" spans="1:5" s="28" customFormat="1" ht="27.6" x14ac:dyDescent="0.3">
      <c r="A734" s="13" t="s">
        <v>355</v>
      </c>
      <c r="B734" s="14" t="str">
        <f>HYPERLINK("http://apps.fcc.gov/ecfs/document/view?id=7521088706","Randolph TMC Expression of Interest (5 pages)")</f>
        <v>Randolph TMC Expression of Interest (5 pages)</v>
      </c>
      <c r="C734" s="15" t="s">
        <v>857</v>
      </c>
      <c r="D734" s="16"/>
      <c r="E734" s="17" t="s">
        <v>924</v>
      </c>
    </row>
    <row r="735" spans="1:5" s="28" customFormat="1" ht="13.8" x14ac:dyDescent="0.3">
      <c r="A735" s="13" t="s">
        <v>156</v>
      </c>
      <c r="B735" s="14" t="str">
        <f>HYPERLINK("http://apps.fcc.gov/ecfs/document/view?id=7521089086","  (3 pages)")</f>
        <v xml:space="preserve">  (3 pages)</v>
      </c>
      <c r="C735" s="15" t="s">
        <v>855</v>
      </c>
      <c r="D735" s="16"/>
      <c r="E735" s="17" t="s">
        <v>989</v>
      </c>
    </row>
    <row r="736" spans="1:5" s="28" customFormat="1" ht="13.8" x14ac:dyDescent="0.3">
      <c r="A736" s="13" t="s">
        <v>354</v>
      </c>
      <c r="B736" s="14" t="str">
        <f>HYPERLINK("http://apps.fcc.gov/ecfs/document/view?id=7521088406","Expression of Interest (2 pages)")</f>
        <v>Expression of Interest (2 pages)</v>
      </c>
      <c r="C736" s="15" t="s">
        <v>854</v>
      </c>
      <c r="D736" s="16"/>
      <c r="E736" s="17" t="s">
        <v>932</v>
      </c>
    </row>
    <row r="737" spans="1:5" s="28" customFormat="1" ht="27.6" x14ac:dyDescent="0.3">
      <c r="A737" s="13" t="s">
        <v>482</v>
      </c>
      <c r="B737" s="14" t="str">
        <f>HYPERLINK("http://apps.fcc.gov/ecfs/document/view?id=7521088167","Rural Broadband Experiment Expression of Interest (4 pages)")</f>
        <v>Rural Broadband Experiment Expression of Interest (4 pages)</v>
      </c>
      <c r="C737" s="15" t="s">
        <v>859</v>
      </c>
      <c r="D737" s="16"/>
      <c r="E737" s="17" t="s">
        <v>1057</v>
      </c>
    </row>
    <row r="738" spans="1:5" s="28" customFormat="1" ht="27.6" x14ac:dyDescent="0.3">
      <c r="A738" s="13" t="s">
        <v>155</v>
      </c>
      <c r="B738" s="14" t="str">
        <f>HYPERLINK("http://apps.fcc.gov/ecfs/document/view?id=7521089146","Red River EOI Rural CAF Experiment (3 pages)")</f>
        <v>Red River EOI Rural CAF Experiment (3 pages)</v>
      </c>
      <c r="C738" s="15" t="s">
        <v>855</v>
      </c>
      <c r="D738" s="16"/>
      <c r="E738" s="17" t="s">
        <v>1012</v>
      </c>
    </row>
    <row r="739" spans="1:5" s="28" customFormat="1" ht="27.6" x14ac:dyDescent="0.3">
      <c r="A739" s="13" t="s">
        <v>272</v>
      </c>
      <c r="B739" s="14" t="str">
        <f>HYPERLINK("http://apps.fcc.gov/ecfs/document/view?id=7521088940","Rural Broadband Experiments Expression of Interest (2 pages)")</f>
        <v>Rural Broadband Experiments Expression of Interest (2 pages)</v>
      </c>
      <c r="C739" s="15" t="s">
        <v>854</v>
      </c>
      <c r="D739" s="16"/>
      <c r="E739" s="17" t="s">
        <v>942</v>
      </c>
    </row>
    <row r="740" spans="1:5" s="28" customFormat="1" ht="27.6" x14ac:dyDescent="0.3">
      <c r="A740" s="13" t="s">
        <v>271</v>
      </c>
      <c r="B740" s="14" t="str">
        <f>HYPERLINK("http://apps.fcc.gov/ecfs/document/view?id=7521088789","Rural Broadband Experiments Expression of Interest (1 page)")</f>
        <v>Rural Broadband Experiments Expression of Interest (1 page)</v>
      </c>
      <c r="C740" s="15" t="s">
        <v>862</v>
      </c>
      <c r="D740" s="16"/>
      <c r="E740" s="17" t="s">
        <v>942</v>
      </c>
    </row>
    <row r="741" spans="1:5" s="28" customFormat="1" ht="13.8" x14ac:dyDescent="0.3">
      <c r="A741" s="29" t="s">
        <v>631</v>
      </c>
      <c r="B741" s="24" t="str">
        <f>HYPERLINK("http://apps.fcc.gov/ecfs/document/view?id=7521089401","Expression of Interest (8 pages)")</f>
        <v>Expression of Interest (8 pages)</v>
      </c>
      <c r="C741" s="17" t="s">
        <v>873</v>
      </c>
      <c r="D741" s="26"/>
      <c r="E741" s="17" t="s">
        <v>942</v>
      </c>
    </row>
    <row r="742" spans="1:5" s="28" customFormat="1" ht="13.8" x14ac:dyDescent="0.3">
      <c r="A742" s="13" t="s">
        <v>428</v>
      </c>
      <c r="B742" s="14" t="str">
        <f>HYPERLINK("http://apps.fcc.gov/ecfs/document/view?id=7521088411","Expression of Interest (3 pages)")</f>
        <v>Expression of Interest (3 pages)</v>
      </c>
      <c r="C742" s="15" t="s">
        <v>855</v>
      </c>
      <c r="D742" s="16"/>
      <c r="E742" s="17" t="s">
        <v>973</v>
      </c>
    </row>
    <row r="743" spans="1:5" s="28" customFormat="1" ht="13.8" x14ac:dyDescent="0.3">
      <c r="A743" s="13" t="s">
        <v>154</v>
      </c>
      <c r="B743" s="14" t="str">
        <f>HYPERLINK("http://apps.fcc.gov/ecfs/document/view?id=7521089221","  (2 pages)")</f>
        <v xml:space="preserve">  (2 pages)</v>
      </c>
      <c r="C743" s="15" t="s">
        <v>854</v>
      </c>
      <c r="D743" s="16"/>
      <c r="E743" s="17" t="s">
        <v>939</v>
      </c>
    </row>
    <row r="744" spans="1:5" s="28" customFormat="1" ht="13.8" x14ac:dyDescent="0.3">
      <c r="A744" s="28" t="s">
        <v>1123</v>
      </c>
      <c r="B744" s="10" t="str">
        <f>HYPERLINK("http://apps.fcc.gov/ecfs/document/view?id=7521088832","Letter of Interest Rural Broadband Experiments (3 pages)")</f>
        <v>Letter of Interest Rural Broadband Experiments (3 pages)</v>
      </c>
      <c r="C744" s="17">
        <v>4</v>
      </c>
      <c r="D744" s="29" t="s">
        <v>1185</v>
      </c>
      <c r="E744" s="17" t="s">
        <v>930</v>
      </c>
    </row>
    <row r="745" spans="1:5" s="28" customFormat="1" ht="13.8" x14ac:dyDescent="0.3">
      <c r="A745" s="29" t="s">
        <v>629</v>
      </c>
      <c r="B745" s="24" t="str">
        <f>HYPERLINK("http://apps.fcc.gov/ecfs/document/view?id=7521089756","Letter of Interest (1 page)")</f>
        <v>Letter of Interest (1 page)</v>
      </c>
      <c r="C745" s="17" t="s">
        <v>862</v>
      </c>
      <c r="D745" s="26" t="s">
        <v>1131</v>
      </c>
      <c r="E745" s="17" t="s">
        <v>989</v>
      </c>
    </row>
    <row r="746" spans="1:5" s="28" customFormat="1" ht="13.8" x14ac:dyDescent="0.3">
      <c r="A746" s="28" t="s">
        <v>1108</v>
      </c>
      <c r="B746" s="10" t="str">
        <f>HYPERLINK("http://apps.fcc.gov/ecfs/document/view?id=7521093592","Richland Electric Expression of Interest Letter (7 pages)")</f>
        <v>Richland Electric Expression of Interest Letter (7 pages)</v>
      </c>
      <c r="C746" s="17" t="s">
        <v>866</v>
      </c>
      <c r="D746" s="29"/>
      <c r="E746" s="17" t="s">
        <v>963</v>
      </c>
    </row>
    <row r="747" spans="1:5" s="28" customFormat="1" ht="13.8" x14ac:dyDescent="0.3">
      <c r="A747" s="13" t="s">
        <v>270</v>
      </c>
      <c r="B747" s="14" t="str">
        <f>HYPERLINK("http://apps.fcc.gov/ecfs/document/view?id=7521088976","  (2 pages)")</f>
        <v xml:space="preserve">  (2 pages)</v>
      </c>
      <c r="C747" s="15" t="s">
        <v>854</v>
      </c>
      <c r="D747" s="16"/>
      <c r="E747" s="17" t="s">
        <v>938</v>
      </c>
    </row>
    <row r="748" spans="1:5" s="28" customFormat="1" ht="27.6" x14ac:dyDescent="0.3">
      <c r="A748" s="13" t="s">
        <v>32</v>
      </c>
      <c r="B748" s="14" t="str">
        <f>HYPERLINK("http://apps.fcc.gov/ecfs/document/view?id=7521089263","Ringgold RoR Expression of Interest Letter (1 page)")</f>
        <v>Ringgold RoR Expression of Interest Letter (1 page)</v>
      </c>
      <c r="C748" s="15" t="s">
        <v>862</v>
      </c>
      <c r="D748" s="16"/>
      <c r="E748" s="17" t="s">
        <v>925</v>
      </c>
    </row>
    <row r="749" spans="1:5" s="28" customFormat="1" ht="13.8" x14ac:dyDescent="0.3">
      <c r="A749" s="13" t="s">
        <v>33</v>
      </c>
      <c r="B749" s="14" t="str">
        <f>HYPERLINK("http://apps.fcc.gov/ecfs/document/view?id=7521089337","  (2 pages)")</f>
        <v xml:space="preserve">  (2 pages)</v>
      </c>
      <c r="C749" s="15" t="s">
        <v>854</v>
      </c>
      <c r="D749" s="16"/>
      <c r="E749" s="17" t="s">
        <v>935</v>
      </c>
    </row>
    <row r="750" spans="1:5" s="28" customFormat="1" ht="27.6" x14ac:dyDescent="0.3">
      <c r="A750" s="13" t="s">
        <v>31</v>
      </c>
      <c r="B750" s="14" t="str">
        <f>HYPERLINK("http://apps.fcc.gov/ecfs/document/view?id=7521089306","Rural Broadband Experiment Expression of Interest (12 pages)")</f>
        <v>Rural Broadband Experiment Expression of Interest (12 pages)</v>
      </c>
      <c r="C750" s="15" t="s">
        <v>861</v>
      </c>
      <c r="D750" s="16" t="s">
        <v>1043</v>
      </c>
      <c r="E750" s="17" t="s">
        <v>942</v>
      </c>
    </row>
    <row r="751" spans="1:5" s="28" customFormat="1" ht="13.8" x14ac:dyDescent="0.3">
      <c r="A751" s="13" t="s">
        <v>269</v>
      </c>
      <c r="B751" s="14" t="str">
        <f>HYPERLINK("http://apps.fcc.gov/ecfs/document/view?id=7521088835","  (2 pages)")</f>
        <v xml:space="preserve">  (2 pages)</v>
      </c>
      <c r="C751" s="15" t="s">
        <v>854</v>
      </c>
      <c r="D751" s="16"/>
      <c r="E751" s="17" t="s">
        <v>988</v>
      </c>
    </row>
    <row r="752" spans="1:5" s="28" customFormat="1" ht="13.8" x14ac:dyDescent="0.3">
      <c r="A752" s="13" t="s">
        <v>30</v>
      </c>
      <c r="B752" s="14" t="str">
        <f>HYPERLINK("http://apps.fcc.gov/ecfs/document/view?id=7521089295","Expression of Interest (2 pages)")</f>
        <v>Expression of Interest (2 pages)</v>
      </c>
      <c r="C752" s="15" t="s">
        <v>855</v>
      </c>
      <c r="D752" s="16"/>
      <c r="E752" s="17" t="s">
        <v>926</v>
      </c>
    </row>
    <row r="753" spans="1:5" s="28" customFormat="1" ht="41.4" x14ac:dyDescent="0.3">
      <c r="A753" s="13" t="s">
        <v>353</v>
      </c>
      <c r="B753" s="14" t="str">
        <f>HYPERLINK("http://apps.fcc.gov/ecfs/document/view?id=7521088729","Roanoke Electric Membership Corporation Expression of Interest (2 pages)")</f>
        <v>Roanoke Electric Membership Corporation Expression of Interest (2 pages)</v>
      </c>
      <c r="C753" s="15" t="s">
        <v>854</v>
      </c>
      <c r="D753" s="16"/>
      <c r="E753" s="17" t="s">
        <v>924</v>
      </c>
    </row>
    <row r="754" spans="1:5" s="28" customFormat="1" ht="13.8" x14ac:dyDescent="0.3">
      <c r="A754" s="13" t="s">
        <v>481</v>
      </c>
      <c r="B754" s="14" t="str">
        <f>HYPERLINK("http://apps.fcc.gov/ecfs/document/view?id=7521088294","Letter of Interest (6 pages)")</f>
        <v>Letter of Interest (6 pages)</v>
      </c>
      <c r="C754" s="15" t="s">
        <v>856</v>
      </c>
      <c r="D754" s="16"/>
      <c r="E754" s="17" t="s">
        <v>932</v>
      </c>
    </row>
    <row r="755" spans="1:5" s="28" customFormat="1" ht="13.8" x14ac:dyDescent="0.3">
      <c r="A755" s="29" t="s">
        <v>628</v>
      </c>
      <c r="B755" s="31" t="str">
        <f>HYPERLINK("http://apps.fcc.gov/ecfs/document/view?id=7521089505","  (7 pages)")</f>
        <v xml:space="preserve">  (7 pages)</v>
      </c>
      <c r="C755" s="17" t="s">
        <v>858</v>
      </c>
      <c r="D755" s="26" t="s">
        <v>1130</v>
      </c>
      <c r="E755" s="17" t="s">
        <v>932</v>
      </c>
    </row>
    <row r="756" spans="1:5" s="28" customFormat="1" ht="13.8" x14ac:dyDescent="0.3">
      <c r="A756" s="29" t="s">
        <v>627</v>
      </c>
      <c r="B756" s="24" t="str">
        <f>HYPERLINK("http://apps.fcc.gov/ecfs/document/view?id=7521089542","  (5 pages)")</f>
        <v xml:space="preserve">  (5 pages)</v>
      </c>
      <c r="C756" s="17" t="s">
        <v>857</v>
      </c>
      <c r="D756" s="26" t="s">
        <v>1129</v>
      </c>
      <c r="E756" s="17" t="s">
        <v>959</v>
      </c>
    </row>
    <row r="757" spans="1:5" s="28" customFormat="1" ht="13.8" x14ac:dyDescent="0.3">
      <c r="A757" s="29" t="s">
        <v>626</v>
      </c>
      <c r="B757" s="24" t="str">
        <f>HYPERLINK("http://apps.fcc.gov/ecfs/document/view?id=7521089708","Expression of Interest letter (3 pages)")</f>
        <v>Expression of Interest letter (3 pages)</v>
      </c>
      <c r="C757" s="17" t="s">
        <v>855</v>
      </c>
      <c r="D757" s="26"/>
      <c r="E757" s="17" t="s">
        <v>989</v>
      </c>
    </row>
    <row r="758" spans="1:5" s="28" customFormat="1" ht="13.8" x14ac:dyDescent="0.3">
      <c r="A758" s="29" t="s">
        <v>625</v>
      </c>
      <c r="B758" s="31" t="str">
        <f>HYPERLINK("http://apps.fcc.gov/ecfs/document/view?id=7521089772","  (9 pages)")</f>
        <v xml:space="preserve">  (9 pages)</v>
      </c>
      <c r="C758" s="17" t="s">
        <v>860</v>
      </c>
      <c r="D758" s="26" t="s">
        <v>1111</v>
      </c>
      <c r="E758" s="17" t="s">
        <v>965</v>
      </c>
    </row>
    <row r="759" spans="1:5" s="28" customFormat="1" ht="13.8" x14ac:dyDescent="0.3">
      <c r="A759" s="29" t="s">
        <v>625</v>
      </c>
      <c r="B759" s="31" t="str">
        <f>HYPERLINK("http://apps.fcc.gov/ecfs/document/view?id=7521089704","  (9 pages)")</f>
        <v xml:space="preserve">  (9 pages)</v>
      </c>
      <c r="C759" s="17" t="s">
        <v>860</v>
      </c>
      <c r="D759" s="26" t="s">
        <v>1111</v>
      </c>
      <c r="E759" s="17" t="s">
        <v>965</v>
      </c>
    </row>
    <row r="760" spans="1:5" s="28" customFormat="1" ht="13.8" x14ac:dyDescent="0.3">
      <c r="A760" s="29" t="s">
        <v>625</v>
      </c>
      <c r="B760" s="24" t="str">
        <f>HYPERLINK("http://apps.fcc.gov/ecfs/document/view?id=7521089607","  (18 pages)")</f>
        <v xml:space="preserve">  (18 pages)</v>
      </c>
      <c r="C760" s="17" t="s">
        <v>858</v>
      </c>
      <c r="D760" s="26" t="s">
        <v>1111</v>
      </c>
      <c r="E760" s="17" t="s">
        <v>965</v>
      </c>
    </row>
    <row r="761" spans="1:5" s="28" customFormat="1" ht="13.8" x14ac:dyDescent="0.3">
      <c r="A761" s="13" t="s">
        <v>159</v>
      </c>
      <c r="B761" s="14" t="str">
        <f>HYPERLINK("http://apps.fcc.gov/ecfs/document/view?id=7521089080","  (4 pages)")</f>
        <v xml:space="preserve">  (4 pages)</v>
      </c>
      <c r="C761" s="15" t="s">
        <v>859</v>
      </c>
      <c r="D761" s="16"/>
      <c r="E761" s="17" t="s">
        <v>1018</v>
      </c>
    </row>
    <row r="762" spans="1:5" s="28" customFormat="1" ht="27.6" x14ac:dyDescent="0.3">
      <c r="A762" s="13" t="s">
        <v>158</v>
      </c>
      <c r="B762" s="14" t="str">
        <f>HYPERLINK("http://apps.fcc.gov/ecfs/document/view?id=7521089153","Expression of Interest CAF WC Docket No 10 90 (3 pages)")</f>
        <v>Expression of Interest CAF WC Docket No 10 90 (3 pages)</v>
      </c>
      <c r="C762" s="15" t="s">
        <v>855</v>
      </c>
      <c r="D762" s="16"/>
      <c r="E762" s="17" t="s">
        <v>931</v>
      </c>
    </row>
    <row r="763" spans="1:5" s="28" customFormat="1" ht="27.6" x14ac:dyDescent="0.3">
      <c r="A763" s="13" t="s">
        <v>34</v>
      </c>
      <c r="B763" s="14" t="str">
        <f>HYPERLINK("http://apps.fcc.gov/ecfs/document/view?id=7521089269","RTC Solutions Price Cap Area Expression of Interest Letter (2 pages)")</f>
        <v>RTC Solutions Price Cap Area Expression of Interest Letter (2 pages)</v>
      </c>
      <c r="C763" s="15" t="s">
        <v>854</v>
      </c>
      <c r="D763" s="16"/>
      <c r="E763" s="17" t="s">
        <v>1044</v>
      </c>
    </row>
    <row r="764" spans="1:5" s="28" customFormat="1" ht="13.8" x14ac:dyDescent="0.3">
      <c r="A764" s="29" t="s">
        <v>914</v>
      </c>
      <c r="B764" s="24" t="str">
        <f>HYPERLINK("http://apps.fcc.gov/ecfs/document/view?id=7521090170","Expression of Interest (2 pages)")</f>
        <v>Expression of Interest (2 pages)</v>
      </c>
      <c r="C764" s="30" t="s">
        <v>854</v>
      </c>
      <c r="D764" s="26"/>
      <c r="E764" s="17" t="s">
        <v>964</v>
      </c>
    </row>
    <row r="765" spans="1:5" s="28" customFormat="1" ht="41.4" x14ac:dyDescent="0.3">
      <c r="A765" s="13" t="s">
        <v>352</v>
      </c>
      <c r="B765" s="14" t="str">
        <f>HYPERLINK("http://apps.fcc.gov/ecfs/document/view?id=7521088756","Expression of Interest FCC Rural Broadband Experiment Program (11 pages)")</f>
        <v>Expression of Interest FCC Rural Broadband Experiment Program (11 pages)</v>
      </c>
      <c r="C765" s="15" t="s">
        <v>876</v>
      </c>
      <c r="D765" s="16"/>
      <c r="E765" s="17" t="s">
        <v>1010</v>
      </c>
    </row>
    <row r="766" spans="1:5" s="28" customFormat="1" ht="27.6" x14ac:dyDescent="0.3">
      <c r="A766" s="13" t="s">
        <v>427</v>
      </c>
      <c r="B766" s="14" t="str">
        <f>HYPERLINK("http://apps.fcc.gov/ecfs/document/view?id=7521088392"," (1 page)")</f>
        <v xml:space="preserve"> (1 page)</v>
      </c>
      <c r="C766" s="15" t="s">
        <v>862</v>
      </c>
      <c r="D766" s="16" t="s">
        <v>1250</v>
      </c>
      <c r="E766" s="17"/>
    </row>
    <row r="767" spans="1:5" s="28" customFormat="1" ht="13.8" x14ac:dyDescent="0.3">
      <c r="A767" s="13" t="s">
        <v>29</v>
      </c>
      <c r="B767" s="14" t="str">
        <f>HYPERLINK("http://apps.fcc.gov/ecfs/document/view?id=7521089370","Expression of Interest (4 pages)")</f>
        <v>Expression of Interest (4 pages)</v>
      </c>
      <c r="C767" s="15" t="s">
        <v>859</v>
      </c>
      <c r="D767" s="16"/>
      <c r="E767" s="17" t="s">
        <v>932</v>
      </c>
    </row>
    <row r="768" spans="1:5" s="28" customFormat="1" ht="27.6" x14ac:dyDescent="0.3">
      <c r="A768" s="13" t="s">
        <v>268</v>
      </c>
      <c r="B768" s="14" t="str">
        <f>HYPERLINK("http://apps.fcc.gov/ecfs/document/view?id=7521088974","  (2 pages)")</f>
        <v xml:space="preserve">  (2 pages)</v>
      </c>
      <c r="C768" s="15" t="s">
        <v>854</v>
      </c>
      <c r="D768" s="16"/>
      <c r="E768" s="17" t="s">
        <v>930</v>
      </c>
    </row>
    <row r="769" spans="1:5" s="28" customFormat="1" ht="13.8" x14ac:dyDescent="0.3">
      <c r="A769" s="13" t="s">
        <v>28</v>
      </c>
      <c r="B769" s="14" t="str">
        <f>HYPERLINK("http://apps.fcc.gov/ecfs/document/view?id=7521089253","Expression of Interest (3 pages)")</f>
        <v>Expression of Interest (3 pages)</v>
      </c>
      <c r="C769" s="15" t="s">
        <v>855</v>
      </c>
      <c r="D769" s="16"/>
      <c r="E769" s="17" t="s">
        <v>926</v>
      </c>
    </row>
    <row r="770" spans="1:5" s="28" customFormat="1" ht="27.6" x14ac:dyDescent="0.3">
      <c r="A770" s="29" t="s">
        <v>624</v>
      </c>
      <c r="B770" s="24" t="str">
        <f>HYPERLINK("http://apps.fcc.gov/ecfs/document/view?id=7521089628","RuralReach Expression of Interest WC Docket No 10 90 (3 pages)")</f>
        <v>RuralReach Expression of Interest WC Docket No 10 90 (3 pages)</v>
      </c>
      <c r="C770" s="17" t="s">
        <v>855</v>
      </c>
      <c r="D770" s="26"/>
      <c r="E770" s="17" t="s">
        <v>943</v>
      </c>
    </row>
    <row r="771" spans="1:5" s="28" customFormat="1" ht="13.8" x14ac:dyDescent="0.3">
      <c r="A771" s="13" t="s">
        <v>267</v>
      </c>
      <c r="B771" s="14" t="str">
        <f>HYPERLINK("http://apps.fcc.gov/ecfs/document/view?id=7521088766","  (6 pages)")</f>
        <v xml:space="preserve">  (6 pages)</v>
      </c>
      <c r="C771" s="15" t="s">
        <v>856</v>
      </c>
      <c r="D771" s="16"/>
      <c r="E771" s="17" t="s">
        <v>1113</v>
      </c>
    </row>
    <row r="772" spans="1:5" s="28" customFormat="1" ht="41.4" x14ac:dyDescent="0.3">
      <c r="A772" s="13" t="s">
        <v>27</v>
      </c>
      <c r="B772" s="14" t="str">
        <f>HYPERLINK("http://apps.fcc.gov/ecfs/document/view?id=7521089381","Page County Virginia Expression of Interest for Rural Broadband Experiment (2 pages)")</f>
        <v>Page County Virginia Expression of Interest for Rural Broadband Experiment (2 pages)</v>
      </c>
      <c r="C772" s="15" t="s">
        <v>854</v>
      </c>
      <c r="D772" s="16" t="s">
        <v>1042</v>
      </c>
      <c r="E772" s="17" t="s">
        <v>932</v>
      </c>
    </row>
    <row r="773" spans="1:5" s="28" customFormat="1" ht="13.8" x14ac:dyDescent="0.3">
      <c r="A773" s="13" t="s">
        <v>266</v>
      </c>
      <c r="B773" s="14" t="str">
        <f>HYPERLINK("http://apps.fcc.gov/ecfs/document/view?id=7521088802","Letter of Interest (2 pages)")</f>
        <v>Letter of Interest (2 pages)</v>
      </c>
      <c r="C773" s="15" t="s">
        <v>854</v>
      </c>
      <c r="D773" s="16"/>
      <c r="E773" s="17" t="s">
        <v>942</v>
      </c>
    </row>
    <row r="774" spans="1:5" s="28" customFormat="1" ht="13.8" x14ac:dyDescent="0.3">
      <c r="A774" s="13" t="s">
        <v>266</v>
      </c>
      <c r="B774" s="14" t="str">
        <f>HYPERLINK("http://apps.fcc.gov/ecfs/document/view?id=7521088799","Letter of Interest ROR (2 pages)")</f>
        <v>Letter of Interest ROR (2 pages)</v>
      </c>
      <c r="C774" s="15" t="s">
        <v>854</v>
      </c>
      <c r="D774" s="16"/>
      <c r="E774" s="17" t="s">
        <v>942</v>
      </c>
    </row>
    <row r="775" spans="1:5" s="28" customFormat="1" ht="13.8" x14ac:dyDescent="0.3">
      <c r="A775" s="29" t="s">
        <v>899</v>
      </c>
      <c r="B775" s="24" t="str">
        <f>HYPERLINK("http://apps.fcc.gov/ecfs/document/view?id=7521091192","Letter of Interest (2 pages)")</f>
        <v>Letter of Interest (2 pages)</v>
      </c>
      <c r="C775" s="30" t="s">
        <v>854</v>
      </c>
      <c r="D775" s="26"/>
      <c r="E775" s="17" t="s">
        <v>930</v>
      </c>
    </row>
    <row r="776" spans="1:5" s="28" customFormat="1" ht="13.8" x14ac:dyDescent="0.3">
      <c r="A776" s="13" t="s">
        <v>153</v>
      </c>
      <c r="B776" s="14" t="str">
        <f>HYPERLINK("http://apps.fcc.gov/ecfs/document/view?id=7521089163","  (2 pages)")</f>
        <v xml:space="preserve">  (2 pages)</v>
      </c>
      <c r="C776" s="15" t="s">
        <v>854</v>
      </c>
      <c r="D776" s="16"/>
      <c r="E776" s="17" t="s">
        <v>930</v>
      </c>
    </row>
    <row r="777" spans="1:5" s="28" customFormat="1" ht="13.8" x14ac:dyDescent="0.3">
      <c r="A777" s="13" t="s">
        <v>480</v>
      </c>
      <c r="B777" s="14" t="str">
        <f>HYPERLINK("http://apps.fcc.gov/ecfs/document/view?id=7521088000","Expression of Interest Letter (2 pages)")</f>
        <v>Expression of Interest Letter (2 pages)</v>
      </c>
      <c r="C777" s="15" t="s">
        <v>854</v>
      </c>
      <c r="D777" s="16"/>
      <c r="E777" s="17" t="s">
        <v>2</v>
      </c>
    </row>
    <row r="778" spans="1:5" s="28" customFormat="1" ht="27.6" x14ac:dyDescent="0.3">
      <c r="A778" s="13" t="s">
        <v>426</v>
      </c>
      <c r="B778" s="14" t="str">
        <f>HYPERLINK("http://apps.fcc.gov/ecfs/document/view?id=7521088463","Experiment Bibo and Seboyeta (5 pages)")</f>
        <v>Experiment Bibo and Seboyeta (5 pages)</v>
      </c>
      <c r="C778" s="15" t="s">
        <v>857</v>
      </c>
      <c r="D778" s="16"/>
      <c r="E778" s="17" t="s">
        <v>978</v>
      </c>
    </row>
    <row r="779" spans="1:5" s="28" customFormat="1" ht="27.6" x14ac:dyDescent="0.3">
      <c r="A779" s="13" t="s">
        <v>152</v>
      </c>
      <c r="B779" s="14" t="str">
        <f>HYPERLINK("http://apps.fcc.gov/ecfs/document/view?id=7521089037","Expression of Interest Comment (7 pages)")</f>
        <v>Expression of Interest Comment (7 pages)</v>
      </c>
      <c r="C779" s="15" t="s">
        <v>873</v>
      </c>
      <c r="D779" s="16" t="s">
        <v>1053</v>
      </c>
      <c r="E779" s="17" t="s">
        <v>964</v>
      </c>
    </row>
    <row r="780" spans="1:5" s="28" customFormat="1" ht="13.8" x14ac:dyDescent="0.3">
      <c r="A780" s="13" t="s">
        <v>351</v>
      </c>
      <c r="B780" s="14" t="str">
        <f>HYPERLINK("http://apps.fcc.gov/ecfs/document/view?id=7521088697","  (3 pages)")</f>
        <v xml:space="preserve">  (3 pages)</v>
      </c>
      <c r="C780" s="15" t="s">
        <v>855</v>
      </c>
      <c r="D780" s="16"/>
      <c r="E780" s="17" t="s">
        <v>942</v>
      </c>
    </row>
    <row r="781" spans="1:5" s="28" customFormat="1" ht="13.8" x14ac:dyDescent="0.3">
      <c r="A781" s="13" t="s">
        <v>151</v>
      </c>
      <c r="B781" s="14" t="str">
        <f>HYPERLINK("http://apps.fcc.gov/ecfs/document/view?id=7521089000","Expression of Interest (3 pages)")</f>
        <v>Expression of Interest (3 pages)</v>
      </c>
      <c r="C781" s="15" t="s">
        <v>855</v>
      </c>
      <c r="D781" s="16"/>
      <c r="E781" s="17" t="s">
        <v>943</v>
      </c>
    </row>
    <row r="782" spans="1:5" s="28" customFormat="1" ht="13.8" x14ac:dyDescent="0.3">
      <c r="A782" s="13" t="s">
        <v>150</v>
      </c>
      <c r="B782" s="14" t="str">
        <f>HYPERLINK("http://apps.fcc.gov/ecfs/document/view?id=7521089226","Letter (4 pages)")</f>
        <v>Letter (4 pages)</v>
      </c>
      <c r="C782" s="15" t="s">
        <v>859</v>
      </c>
      <c r="D782" s="16"/>
      <c r="E782" s="17" t="s">
        <v>970</v>
      </c>
    </row>
    <row r="783" spans="1:5" s="28" customFormat="1" ht="41.4" x14ac:dyDescent="0.3">
      <c r="A783" s="29" t="s">
        <v>913</v>
      </c>
      <c r="B783" s="24" t="str">
        <f>HYPERLINK("http://apps.fcc.gov/ecfs/document/view?id=7521090164","EXPRESSION OF INTEREST WC 10 90 SANDWICH ISLES COMMUNICATIONS (4 pages)")</f>
        <v>EXPRESSION OF INTEREST WC 10 90 SANDWICH ISLES COMMUNICATIONS (4 pages)</v>
      </c>
      <c r="C783" s="30" t="s">
        <v>859</v>
      </c>
      <c r="D783" s="26"/>
      <c r="E783" s="17" t="s">
        <v>1192</v>
      </c>
    </row>
    <row r="784" spans="1:5" s="28" customFormat="1" ht="41.4" x14ac:dyDescent="0.3">
      <c r="A784" s="13" t="s">
        <v>149</v>
      </c>
      <c r="B784" s="14" t="str">
        <f>HYPERLINK("http://apps.fcc.gov/ecfs/document/view?id=7521088996","Next Generation Network Experiments Expression of Interest (4 pages)")</f>
        <v>Next Generation Network Experiments Expression of Interest (4 pages)</v>
      </c>
      <c r="C784" s="15" t="s">
        <v>859</v>
      </c>
      <c r="D784" s="16"/>
      <c r="E784" s="17" t="s">
        <v>1011</v>
      </c>
    </row>
    <row r="785" spans="1:5" s="28" customFormat="1" ht="27.6" x14ac:dyDescent="0.3">
      <c r="A785" s="29" t="s">
        <v>619</v>
      </c>
      <c r="B785" s="24" t="str">
        <f>HYPERLINK("http://apps.fcc.gov/ecfs/document/view?id=7521089608","Santel Communications Cooperative Inc Rural CAF EOI (11 pages)")</f>
        <v>Santel Communications Cooperative Inc Rural CAF EOI (11 pages)</v>
      </c>
      <c r="C785" s="17" t="s">
        <v>876</v>
      </c>
      <c r="D785" s="26"/>
      <c r="E785" s="17" t="s">
        <v>1057</v>
      </c>
    </row>
    <row r="786" spans="1:5" s="28" customFormat="1" ht="27.6" x14ac:dyDescent="0.3">
      <c r="A786" s="29" t="s">
        <v>619</v>
      </c>
      <c r="B786" s="24" t="str">
        <f>HYPERLINK("http://apps.fcc.gov/ecfs/document/view?id=7521089608","Santel Communications Cooperative Inc Rural CAF EOI (11 pages)")</f>
        <v>Santel Communications Cooperative Inc Rural CAF EOI (11 pages)</v>
      </c>
      <c r="C786" s="17" t="s">
        <v>876</v>
      </c>
      <c r="D786" s="26"/>
      <c r="E786" s="17" t="s">
        <v>1057</v>
      </c>
    </row>
    <row r="787" spans="1:5" s="28" customFormat="1" ht="27.6" x14ac:dyDescent="0.3">
      <c r="A787" s="13" t="s">
        <v>25</v>
      </c>
      <c r="B787" s="14" t="str">
        <f>HYPERLINK("http://apps.fcc.gov/ecfs/document/view?id=7521089473","RC Fiber Expression of Interest (3 pages)")</f>
        <v>RC Fiber Expression of Interest (3 pages)</v>
      </c>
      <c r="C787" s="15" t="s">
        <v>855</v>
      </c>
      <c r="D787" s="16" t="s">
        <v>1041</v>
      </c>
      <c r="E787" s="17" t="s">
        <v>964</v>
      </c>
    </row>
    <row r="788" spans="1:5" s="28" customFormat="1" ht="41.4" x14ac:dyDescent="0.3">
      <c r="A788" s="13" t="s">
        <v>479</v>
      </c>
      <c r="B788" s="14" t="str">
        <f>HYPERLINK("http://apps.fcc.gov/ecfs/document/view?id=7521087760","Fort Ross Conservatory Expression of Interest for Rural Broadband Experiments (4 pages)")</f>
        <v>Fort Ross Conservatory Expression of Interest for Rural Broadband Experiments (4 pages)</v>
      </c>
      <c r="C788" s="15" t="s">
        <v>859</v>
      </c>
      <c r="D788" s="16"/>
      <c r="E788" s="17" t="s">
        <v>928</v>
      </c>
    </row>
    <row r="789" spans="1:5" s="28" customFormat="1" ht="13.8" x14ac:dyDescent="0.3">
      <c r="A789" s="13" t="s">
        <v>478</v>
      </c>
      <c r="B789" s="14" t="str">
        <f>HYPERLINK("http://apps.fcc.gov/ecfs/document/view?id=7521088295","Expression of Interest (3 pages)")</f>
        <v>Expression of Interest (3 pages)</v>
      </c>
      <c r="C789" s="15" t="s">
        <v>855</v>
      </c>
      <c r="D789" s="16"/>
      <c r="E789" s="17" t="s">
        <v>964</v>
      </c>
    </row>
    <row r="790" spans="1:5" s="28" customFormat="1" ht="13.8" x14ac:dyDescent="0.3">
      <c r="A790" s="29" t="s">
        <v>618</v>
      </c>
      <c r="B790" s="24" t="str">
        <f>HYPERLINK("http://apps.fcc.gov/ecfs/document/view?id=7521089739","  (4 pages)")</f>
        <v xml:space="preserve">  (4 pages)</v>
      </c>
      <c r="C790" s="17" t="s">
        <v>859</v>
      </c>
      <c r="D790" s="26"/>
      <c r="E790" s="17" t="s">
        <v>927</v>
      </c>
    </row>
    <row r="791" spans="1:5" s="28" customFormat="1" ht="13.8" x14ac:dyDescent="0.3">
      <c r="A791" s="37" t="s">
        <v>896</v>
      </c>
      <c r="B791" s="38" t="str">
        <f>HYPERLINK("http://apps.fcc.gov/ecfs/document/view?id=7521091603","  (2 pages)")</f>
        <v xml:space="preserve">  (2 pages)</v>
      </c>
      <c r="C791" s="39" t="s">
        <v>854</v>
      </c>
      <c r="D791" s="26"/>
      <c r="E791" s="17" t="s">
        <v>935</v>
      </c>
    </row>
    <row r="792" spans="1:5" s="28" customFormat="1" ht="13.8" x14ac:dyDescent="0.3">
      <c r="A792" s="29" t="s">
        <v>896</v>
      </c>
      <c r="B792" s="24" t="str">
        <f>HYPERLINK("http://apps.fcc.gov/ecfs/document/view?id=7521090081","Expression of Interest Letter (2 pages)")</f>
        <v>Expression of Interest Letter (2 pages)</v>
      </c>
      <c r="C792" s="30" t="s">
        <v>854</v>
      </c>
      <c r="D792" s="29"/>
      <c r="E792" s="17" t="s">
        <v>935</v>
      </c>
    </row>
    <row r="793" spans="1:5" s="28" customFormat="1" ht="27.6" x14ac:dyDescent="0.3">
      <c r="A793" s="13" t="s">
        <v>24</v>
      </c>
      <c r="B793" s="14" t="str">
        <f>HYPERLINK("http://apps.fcc.gov/ecfs/document/view?id=7521089289","Kent County EOI for Rural BB Pilot (4 pages)")</f>
        <v>Kent County EOI for Rural BB Pilot (4 pages)</v>
      </c>
      <c r="C793" s="15" t="s">
        <v>860</v>
      </c>
      <c r="D793" s="16" t="s">
        <v>1040</v>
      </c>
      <c r="E793" s="17" t="s">
        <v>937</v>
      </c>
    </row>
    <row r="794" spans="1:5" s="28" customFormat="1" ht="27.6" x14ac:dyDescent="0.3">
      <c r="A794" s="13" t="s">
        <v>148</v>
      </c>
      <c r="B794" s="14" t="str">
        <f>HYPERLINK("http://apps.fcc.gov/ecfs/document/view?id=7521089237","Expression of Interest FCC 14 5 (9 pages)")</f>
        <v>Expression of Interest FCC 14 5 (9 pages)</v>
      </c>
      <c r="C794" s="15" t="s">
        <v>860</v>
      </c>
      <c r="D794" s="16"/>
      <c r="E794" s="17" t="s">
        <v>1081</v>
      </c>
    </row>
    <row r="795" spans="1:5" s="28" customFormat="1" ht="13.8" x14ac:dyDescent="0.3">
      <c r="A795" s="13" t="s">
        <v>263</v>
      </c>
      <c r="B795" s="14" t="str">
        <f>HYPERLINK("http://apps.fcc.gov/ecfs/document/view?id=7521088991","  (2 pages)")</f>
        <v xml:space="preserve">  (2 pages)</v>
      </c>
      <c r="C795" s="15" t="s">
        <v>854</v>
      </c>
      <c r="D795" s="16"/>
      <c r="E795" s="17" t="s">
        <v>937</v>
      </c>
    </row>
    <row r="796" spans="1:5" s="28" customFormat="1" ht="27.6" x14ac:dyDescent="0.3">
      <c r="A796" s="13" t="s">
        <v>548</v>
      </c>
      <c r="B796" s="14" t="str">
        <f>HYPERLINK("http://apps.fcc.gov/ecfs/document/view?id=7521074642","Pioneer Experiment Proposal (11 pages)")</f>
        <v>Pioneer Experiment Proposal (11 pages)</v>
      </c>
      <c r="C796" s="15" t="s">
        <v>876</v>
      </c>
      <c r="D796" s="16" t="s">
        <v>1068</v>
      </c>
      <c r="E796" s="17" t="s">
        <v>965</v>
      </c>
    </row>
    <row r="797" spans="1:5" s="28" customFormat="1" ht="27.6" x14ac:dyDescent="0.3">
      <c r="A797" s="13" t="s">
        <v>425</v>
      </c>
      <c r="B797" s="31" t="str">
        <f>HYPERLINK("http://apps.fcc.gov/ecfs/document/view?id=7521088592","  (5 pages)")</f>
        <v xml:space="preserve">  (5 pages)</v>
      </c>
      <c r="C797" s="15" t="s">
        <v>857</v>
      </c>
      <c r="D797" s="16" t="s">
        <v>1232</v>
      </c>
      <c r="E797" s="17" t="s">
        <v>978</v>
      </c>
    </row>
    <row r="798" spans="1:5" s="28" customFormat="1" ht="13.8" x14ac:dyDescent="0.3">
      <c r="A798" s="29" t="s">
        <v>617</v>
      </c>
      <c r="B798" s="24" t="str">
        <f>HYPERLINK("http://apps.fcc.gov/ecfs/document/view?id=7521089621","Letter Expression of Interest (2 pages)")</f>
        <v>Letter Expression of Interest (2 pages)</v>
      </c>
      <c r="C798" s="17" t="s">
        <v>854</v>
      </c>
      <c r="D798" s="26" t="s">
        <v>1066</v>
      </c>
      <c r="E798" s="17" t="s">
        <v>937</v>
      </c>
    </row>
    <row r="799" spans="1:5" s="28" customFormat="1" ht="13.8" x14ac:dyDescent="0.3">
      <c r="A799" s="13" t="s">
        <v>416</v>
      </c>
      <c r="B799" s="14" t="str">
        <f>HYPERLINK("http://apps.fcc.gov/ecfs/document/view?id=7521088602","  (4 pages)")</f>
        <v xml:space="preserve">  (4 pages)</v>
      </c>
      <c r="C799" s="15" t="s">
        <v>859</v>
      </c>
      <c r="D799" s="16"/>
      <c r="E799" s="17" t="s">
        <v>963</v>
      </c>
    </row>
    <row r="800" spans="1:5" s="28" customFormat="1" ht="41.4" x14ac:dyDescent="0.3">
      <c r="A800" s="29" t="s">
        <v>623</v>
      </c>
      <c r="B800" s="24" t="str">
        <f>HYPERLINK("http://apps.fcc.gov/ecfs/document/view?id=7521089710","SECPA SECOM Rural Broadband Experiment Expression of Interest (6 pages)")</f>
        <v>SECPA SECOM Rural Broadband Experiment Expression of Interest (6 pages)</v>
      </c>
      <c r="C800" s="17" t="s">
        <v>856</v>
      </c>
      <c r="D800" s="26"/>
      <c r="E800" s="17" t="s">
        <v>942</v>
      </c>
    </row>
    <row r="801" spans="1:5" s="28" customFormat="1" ht="13.8" x14ac:dyDescent="0.3">
      <c r="A801" s="29" t="s">
        <v>622</v>
      </c>
      <c r="B801" s="24" t="str">
        <f>HYPERLINK("http://apps.fcc.gov/ecfs/document/view?id=7521089619","  (3 pages)")</f>
        <v xml:space="preserve">  (3 pages)</v>
      </c>
      <c r="C801" s="17" t="s">
        <v>855</v>
      </c>
      <c r="D801" s="26"/>
      <c r="E801" s="17" t="s">
        <v>2</v>
      </c>
    </row>
    <row r="802" spans="1:5" s="28" customFormat="1" ht="13.8" x14ac:dyDescent="0.3">
      <c r="A802" s="13" t="s">
        <v>26</v>
      </c>
      <c r="B802" s="14" t="str">
        <f>HYPERLINK("http://apps.fcc.gov/ecfs/document/view?id=7521089461","  (2 pages)")</f>
        <v xml:space="preserve">  (2 pages)</v>
      </c>
      <c r="C802" s="15" t="s">
        <v>854</v>
      </c>
      <c r="D802" s="16"/>
      <c r="E802" s="17" t="s">
        <v>2</v>
      </c>
    </row>
    <row r="803" spans="1:5" s="28" customFormat="1" ht="13.8" x14ac:dyDescent="0.3">
      <c r="A803" s="28" t="s">
        <v>1092</v>
      </c>
      <c r="B803" s="10" t="str">
        <f>HYPERLINK("http://apps.fcc.gov/ecfs/document/view?id=7521093393","Shawnee EOI Rual CAF Experiment (4 pages)")</f>
        <v>Shawnee EOI Rual CAF Experiment (4 pages)</v>
      </c>
      <c r="C803" s="17" t="s">
        <v>859</v>
      </c>
      <c r="D803" s="29"/>
      <c r="E803" s="17" t="s">
        <v>959</v>
      </c>
    </row>
    <row r="804" spans="1:5" s="28" customFormat="1" ht="13.8" x14ac:dyDescent="0.3">
      <c r="A804" s="29" t="s">
        <v>616</v>
      </c>
      <c r="B804" s="24" t="str">
        <f>HYPERLINK("http://apps.fcc.gov/ecfs/document/view?id=7521089104","Expression of Interest (3 pages)")</f>
        <v>Expression of Interest (3 pages)</v>
      </c>
      <c r="C804" s="17" t="s">
        <v>855</v>
      </c>
      <c r="D804" s="26"/>
      <c r="E804" s="17" t="s">
        <v>959</v>
      </c>
    </row>
    <row r="805" spans="1:5" s="28" customFormat="1" ht="27.6" x14ac:dyDescent="0.3">
      <c r="A805" s="29" t="s">
        <v>615</v>
      </c>
      <c r="B805" s="24" t="str">
        <f>HYPERLINK("http://apps.fcc.gov/ecfs/document/view?id=7521089703","Expression of Interest (4 pages)")</f>
        <v>Expression of Interest (4 pages)</v>
      </c>
      <c r="C805" s="17" t="s">
        <v>859</v>
      </c>
      <c r="D805" s="26"/>
      <c r="E805" s="17" t="s">
        <v>973</v>
      </c>
    </row>
    <row r="806" spans="1:5" s="28" customFormat="1" ht="27.6" x14ac:dyDescent="0.3">
      <c r="A806" s="29" t="s">
        <v>614</v>
      </c>
      <c r="B806" s="24" t="str">
        <f>HYPERLINK("http://apps.fcc.gov/ecfs/document/view?id=7521089746","Rural Broadband Experiment Expression of Interest (8 pages)")</f>
        <v>Rural Broadband Experiment Expression of Interest (8 pages)</v>
      </c>
      <c r="C806" s="17" t="s">
        <v>873</v>
      </c>
      <c r="D806" s="26"/>
      <c r="E806" s="17" t="s">
        <v>1050</v>
      </c>
    </row>
    <row r="807" spans="1:5" s="28" customFormat="1" ht="27.6" x14ac:dyDescent="0.3">
      <c r="A807" s="29" t="s">
        <v>613</v>
      </c>
      <c r="B807" s="24" t="str">
        <f>HYPERLINK("http://apps.fcc.gov/ecfs/document/view?id=7521089813","Shidler Telephone Expression of Interest (6 pages)")</f>
        <v>Shidler Telephone Expression of Interest (6 pages)</v>
      </c>
      <c r="C807" s="17" t="s">
        <v>856</v>
      </c>
      <c r="D807" s="26"/>
      <c r="E807" s="17" t="s">
        <v>965</v>
      </c>
    </row>
    <row r="808" spans="1:5" s="28" customFormat="1" ht="27.6" x14ac:dyDescent="0.3">
      <c r="A808" s="13" t="s">
        <v>265</v>
      </c>
      <c r="B808" s="14" t="str">
        <f>HYPERLINK("http://apps.fcc.gov/ecfs/document/view?id=7521088990","SI Wireless Expression of Interest (4 pages)")</f>
        <v>SI Wireless Expression of Interest (4 pages)</v>
      </c>
      <c r="C808" s="15" t="s">
        <v>859</v>
      </c>
      <c r="D808" s="16"/>
      <c r="E808" s="17" t="s">
        <v>1113</v>
      </c>
    </row>
    <row r="809" spans="1:5" s="28" customFormat="1" ht="27.6" x14ac:dyDescent="0.3">
      <c r="A809" s="29" t="s">
        <v>612</v>
      </c>
      <c r="B809" s="24" t="str">
        <f>HYPERLINK("http://apps.fcc.gov/ecfs/document/view?id=7521089829","Rural Broadband Experiment Expression of Interest Letter (3 pages)")</f>
        <v>Rural Broadband Experiment Expression of Interest Letter (3 pages)</v>
      </c>
      <c r="C809" s="17" t="s">
        <v>855</v>
      </c>
      <c r="D809" s="26"/>
      <c r="E809" s="17" t="s">
        <v>988</v>
      </c>
    </row>
    <row r="810" spans="1:5" s="28" customFormat="1" ht="27.6" x14ac:dyDescent="0.3">
      <c r="A810" s="29" t="s">
        <v>611</v>
      </c>
      <c r="B810" s="24" t="str">
        <f>HYPERLINK("http://apps.fcc.gov/ecfs/document/view?id=7521089711","Technology Transition Experiment Letter of Interest (4 pages)")</f>
        <v>Technology Transition Experiment Letter of Interest (4 pages)</v>
      </c>
      <c r="C810" s="17" t="s">
        <v>859</v>
      </c>
      <c r="D810" s="26"/>
      <c r="E810" s="17" t="s">
        <v>928</v>
      </c>
    </row>
    <row r="811" spans="1:5" s="28" customFormat="1" ht="41.4" x14ac:dyDescent="0.3">
      <c r="A811" s="29" t="s">
        <v>610</v>
      </c>
      <c r="B811" s="24" t="str">
        <f>HYPERLINK("http://apps.fcc.gov/ecfs/document/view?id=7521089630","IP Experiment Expression of Interest Siren Telephone Company Inc  (2 pages)")</f>
        <v>IP Experiment Expression of Interest Siren Telephone Company Inc  (2 pages)</v>
      </c>
      <c r="C811" s="17" t="s">
        <v>854</v>
      </c>
      <c r="D811" s="26"/>
      <c r="E811" s="17" t="s">
        <v>963</v>
      </c>
    </row>
    <row r="812" spans="1:5" s="28" customFormat="1" ht="27.6" x14ac:dyDescent="0.3">
      <c r="A812" s="29" t="s">
        <v>609</v>
      </c>
      <c r="B812" s="24" t="str">
        <f>HYPERLINK("http://apps.fcc.gov/ecfs/document/view?id=7521089822","Letter of interest in the FCC Rural Broadband Experiments (2 pages)")</f>
        <v>Letter of interest in the FCC Rural Broadband Experiments (2 pages)</v>
      </c>
      <c r="C812" s="17" t="s">
        <v>854</v>
      </c>
      <c r="D812" s="26"/>
      <c r="E812" s="17" t="s">
        <v>964</v>
      </c>
    </row>
    <row r="813" spans="1:5" s="28" customFormat="1" ht="27.6" x14ac:dyDescent="0.3">
      <c r="A813" s="29" t="s">
        <v>608</v>
      </c>
      <c r="B813" s="24" t="str">
        <f>HYPERLINK("http://apps.fcc.gov/ecfs/document/view?id=7521089691","SkyLine RoR Expression of Interest (2 pages)")</f>
        <v>SkyLine RoR Expression of Interest (2 pages)</v>
      </c>
      <c r="C813" s="17" t="s">
        <v>854</v>
      </c>
      <c r="D813" s="26"/>
      <c r="E813" s="17" t="s">
        <v>924</v>
      </c>
    </row>
    <row r="814" spans="1:5" s="28" customFormat="1" ht="13.8" x14ac:dyDescent="0.3">
      <c r="A814" s="29" t="s">
        <v>607</v>
      </c>
      <c r="B814" s="24" t="str">
        <f>HYPERLINK("http://apps.fcc.gov/ecfs/document/view?id=7521089857","  (4 pages)")</f>
        <v xml:space="preserve">  (4 pages)</v>
      </c>
      <c r="C814" s="17" t="s">
        <v>859</v>
      </c>
      <c r="D814" s="26"/>
      <c r="E814" s="17" t="s">
        <v>972</v>
      </c>
    </row>
    <row r="815" spans="1:5" s="28" customFormat="1" ht="13.8" x14ac:dyDescent="0.3">
      <c r="A815" s="13" t="s">
        <v>147</v>
      </c>
      <c r="B815" s="14" t="str">
        <f>HYPERLINK("http://apps.fcc.gov/ecfs/document/view?id=7521089217","  (3 pages)")</f>
        <v xml:space="preserve">  (3 pages)</v>
      </c>
      <c r="C815" s="15" t="s">
        <v>861</v>
      </c>
      <c r="D815" s="16"/>
      <c r="E815" s="17" t="s">
        <v>939</v>
      </c>
    </row>
    <row r="816" spans="1:5" s="28" customFormat="1" ht="27.6" x14ac:dyDescent="0.3">
      <c r="A816" s="29" t="s">
        <v>606</v>
      </c>
      <c r="B816" s="24" t="str">
        <f>HYPERLINK("http://apps.fcc.gov/ecfs/document/view?id=7521089936","Expression of Interest Letter WC 10 90 (6 pages)")</f>
        <v>Expression of Interest Letter WC 10 90 (6 pages)</v>
      </c>
      <c r="C816" s="17" t="s">
        <v>856</v>
      </c>
      <c r="D816" s="26"/>
      <c r="E816" s="17" t="s">
        <v>942</v>
      </c>
    </row>
    <row r="817" spans="1:5" s="28" customFormat="1" ht="13.8" x14ac:dyDescent="0.3">
      <c r="A817" s="29" t="s">
        <v>605</v>
      </c>
      <c r="B817" s="24" t="str">
        <f>HYPERLINK("http://apps.fcc.gov/ecfs/document/view?id=7521089888","  (2 pages)")</f>
        <v xml:space="preserve">  (2 pages)</v>
      </c>
      <c r="C817" s="17" t="s">
        <v>854</v>
      </c>
      <c r="D817" s="26" t="s">
        <v>1049</v>
      </c>
      <c r="E817" s="17" t="s">
        <v>928</v>
      </c>
    </row>
    <row r="818" spans="1:5" s="28" customFormat="1" ht="13.8" x14ac:dyDescent="0.3">
      <c r="A818" s="13" t="s">
        <v>424</v>
      </c>
      <c r="B818" s="14" t="str">
        <f>HYPERLINK("http://apps.fcc.gov/ecfs/document/view?id=7521088403","  (1 page)")</f>
        <v xml:space="preserve">  (1 page)</v>
      </c>
      <c r="C818" s="15" t="s">
        <v>855</v>
      </c>
      <c r="D818" s="16"/>
      <c r="E818" s="17" t="s">
        <v>931</v>
      </c>
    </row>
    <row r="819" spans="1:5" s="28" customFormat="1" ht="27.6" x14ac:dyDescent="0.3">
      <c r="A819" s="29" t="s">
        <v>604</v>
      </c>
      <c r="B819" s="24" t="str">
        <f>HYPERLINK("http://apps.fcc.gov/ecfs/document/view?id=7521089653","Expression Of Interest 10 90 (8 pages)")</f>
        <v>Expression Of Interest 10 90 (8 pages)</v>
      </c>
      <c r="C819" s="17" t="s">
        <v>873</v>
      </c>
      <c r="D819" s="26"/>
      <c r="E819" s="17" t="s">
        <v>968</v>
      </c>
    </row>
    <row r="820" spans="1:5" s="28" customFormat="1" ht="13.8" x14ac:dyDescent="0.3">
      <c r="A820" s="13" t="s">
        <v>423</v>
      </c>
      <c r="B820" s="14" t="str">
        <f>HYPERLINK("http://apps.fcc.gov/ecfs/document/view?id=7521088144","Expression of Interest (3 pages)")</f>
        <v>Expression of Interest (3 pages)</v>
      </c>
      <c r="C820" s="15" t="s">
        <v>855</v>
      </c>
      <c r="D820" s="16"/>
      <c r="E820" s="17" t="s">
        <v>931</v>
      </c>
    </row>
    <row r="821" spans="1:5" s="28" customFormat="1" ht="13.8" x14ac:dyDescent="0.3">
      <c r="A821" s="28" t="s">
        <v>1091</v>
      </c>
      <c r="B821" s="10" t="str">
        <f>HYPERLINK("http://apps.fcc.gov/ecfs/document/view?id=7521092424","Letter of Intent (2 pages)")</f>
        <v>Letter of Intent (2 pages)</v>
      </c>
      <c r="C821" s="17" t="s">
        <v>854</v>
      </c>
      <c r="D821" s="29"/>
      <c r="E821" s="17" t="s">
        <v>938</v>
      </c>
    </row>
    <row r="822" spans="1:5" s="28" customFormat="1" ht="13.8" x14ac:dyDescent="0.3">
      <c r="A822" s="28" t="s">
        <v>1090</v>
      </c>
      <c r="B822" s="10" t="str">
        <f>HYPERLINK("http://apps.fcc.gov/ecfs/document/view?id=7521092427","Letter of Interest (2 pages)")</f>
        <v>Letter of Interest (2 pages)</v>
      </c>
      <c r="C822" s="17" t="s">
        <v>854</v>
      </c>
      <c r="D822" s="29"/>
      <c r="E822" s="17" t="s">
        <v>938</v>
      </c>
    </row>
    <row r="823" spans="1:5" s="28" customFormat="1" ht="13.8" x14ac:dyDescent="0.3">
      <c r="A823" s="13" t="s">
        <v>262</v>
      </c>
      <c r="B823" s="14" t="str">
        <f>HYPERLINK("http://apps.fcc.gov/ecfs/document/view?id=7521088819","Letter of Interest (2 pages)")</f>
        <v>Letter of Interest (2 pages)</v>
      </c>
      <c r="C823" s="15" t="s">
        <v>854</v>
      </c>
      <c r="D823" s="16"/>
      <c r="E823" s="17" t="s">
        <v>942</v>
      </c>
    </row>
    <row r="824" spans="1:5" s="28" customFormat="1" ht="13.8" x14ac:dyDescent="0.3">
      <c r="A824" s="13" t="s">
        <v>262</v>
      </c>
      <c r="B824" s="14" t="str">
        <f>HYPERLINK("http://apps.fcc.gov/ecfs/document/view?id=7521088804","Letter of Interest RoR (2 pages)")</f>
        <v>Letter of Interest RoR (2 pages)</v>
      </c>
      <c r="C824" s="15" t="s">
        <v>854</v>
      </c>
      <c r="D824" s="16"/>
      <c r="E824" s="17" t="s">
        <v>942</v>
      </c>
    </row>
    <row r="825" spans="1:5" s="28" customFormat="1" ht="13.8" x14ac:dyDescent="0.3">
      <c r="A825" s="13" t="s">
        <v>422</v>
      </c>
      <c r="B825" s="14" t="str">
        <f>HYPERLINK("http://apps.fcc.gov/ecfs/document/view?id=7521088440","  (2 pages)")</f>
        <v xml:space="preserve">  (2 pages)</v>
      </c>
      <c r="C825" s="15" t="s">
        <v>854</v>
      </c>
      <c r="D825" s="16"/>
      <c r="E825" s="17" t="s">
        <v>926</v>
      </c>
    </row>
    <row r="826" spans="1:5" s="28" customFormat="1" ht="13.8" x14ac:dyDescent="0.3">
      <c r="A826" s="13" t="s">
        <v>146</v>
      </c>
      <c r="B826" s="14" t="str">
        <f>HYPERLINK("http://apps.fcc.gov/ecfs/document/view?id=7521089075","  (3 pages)")</f>
        <v xml:space="preserve">  (3 pages)</v>
      </c>
      <c r="C826" s="15" t="s">
        <v>855</v>
      </c>
      <c r="D826" s="16"/>
      <c r="E826" s="17" t="s">
        <v>979</v>
      </c>
    </row>
    <row r="827" spans="1:5" s="28" customFormat="1" ht="13.8" x14ac:dyDescent="0.3">
      <c r="A827" s="29" t="s">
        <v>603</v>
      </c>
      <c r="B827" s="24" t="str">
        <f>HYPERLINK("http://apps.fcc.gov/ecfs/document/view?id=7521089896","  (5 pages)")</f>
        <v xml:space="preserve">  (5 pages)</v>
      </c>
      <c r="C827" s="17" t="s">
        <v>857</v>
      </c>
      <c r="D827" s="26"/>
      <c r="E827" s="17" t="s">
        <v>973</v>
      </c>
    </row>
    <row r="828" spans="1:5" s="28" customFormat="1" ht="13.8" x14ac:dyDescent="0.3">
      <c r="A828" s="13" t="s">
        <v>261</v>
      </c>
      <c r="B828" s="31" t="str">
        <f>HYPERLINK("http://apps.fcc.gov/ecfs/document/view?id=7521088798","Expression of Interest (3 pages)")</f>
        <v>Expression of Interest (3 pages)</v>
      </c>
      <c r="C828" s="15" t="s">
        <v>855</v>
      </c>
      <c r="D828" s="16"/>
      <c r="E828" s="17" t="s">
        <v>939</v>
      </c>
    </row>
    <row r="829" spans="1:5" s="28" customFormat="1" ht="13.8" x14ac:dyDescent="0.3">
      <c r="A829" s="13" t="s">
        <v>350</v>
      </c>
      <c r="B829" s="14" t="str">
        <f>HYPERLINK("http://apps.fcc.gov/ecfs/document/view?id=7521088721","SCC Comment (5 pages)")</f>
        <v>SCC Comment (5 pages)</v>
      </c>
      <c r="C829" s="15" t="s">
        <v>857</v>
      </c>
      <c r="D829" s="16"/>
      <c r="E829" s="17" t="s">
        <v>925</v>
      </c>
    </row>
    <row r="830" spans="1:5" s="28" customFormat="1" ht="41.4" x14ac:dyDescent="0.3">
      <c r="A830" s="13" t="s">
        <v>260</v>
      </c>
      <c r="B830" s="14" t="str">
        <f>HYPERLINK("http://apps.fcc.gov/ecfs/document/view?id=7521088797","Southern MD Data Center and last mile fiber and WiFi Deployment (2 pages)")</f>
        <v>Southern MD Data Center and last mile fiber and WiFi Deployment (2 pages)</v>
      </c>
      <c r="C830" s="15" t="s">
        <v>854</v>
      </c>
      <c r="D830" s="16"/>
      <c r="E830" s="17" t="s">
        <v>937</v>
      </c>
    </row>
    <row r="831" spans="1:5" s="28" customFormat="1" ht="13.8" x14ac:dyDescent="0.3">
      <c r="A831" s="13" t="s">
        <v>23</v>
      </c>
      <c r="B831" s="14" t="str">
        <f>HYPERLINK("http://apps.fcc.gov/ecfs/document/view?id=7521089282","Expression of Interest (4 pages)")</f>
        <v>Expression of Interest (4 pages)</v>
      </c>
      <c r="C831" s="15" t="s">
        <v>859</v>
      </c>
      <c r="D831" s="16"/>
      <c r="E831" s="17" t="s">
        <v>933</v>
      </c>
    </row>
    <row r="832" spans="1:5" s="28" customFormat="1" ht="13.8" x14ac:dyDescent="0.3">
      <c r="A832" s="28" t="s">
        <v>1089</v>
      </c>
      <c r="B832" s="10" t="str">
        <f>HYPERLINK("http://apps.fcc.gov/ecfs/document/view?id=7521093408","  (3 pages)")</f>
        <v xml:space="preserve">  (3 pages)</v>
      </c>
      <c r="C832" s="17" t="s">
        <v>855</v>
      </c>
      <c r="D832" s="29"/>
      <c r="E832" s="17" t="s">
        <v>933</v>
      </c>
    </row>
    <row r="833" spans="1:5" s="28" customFormat="1" ht="27.6" x14ac:dyDescent="0.3">
      <c r="A833" s="13" t="s">
        <v>349</v>
      </c>
      <c r="B833" s="14" t="str">
        <f>HYPERLINK("http://apps.fcc.gov/ecfs/document/view?id=7521088654","  (2 pages)")</f>
        <v xml:space="preserve">  (2 pages)</v>
      </c>
      <c r="C833" s="15" t="s">
        <v>854</v>
      </c>
      <c r="D833" s="16"/>
      <c r="E833" s="17" t="s">
        <v>929</v>
      </c>
    </row>
    <row r="834" spans="1:5" s="28" customFormat="1" ht="27.6" x14ac:dyDescent="0.3">
      <c r="A834" s="13" t="s">
        <v>349</v>
      </c>
      <c r="B834" s="14" t="str">
        <f>HYPERLINK("http://apps.fcc.gov/ecfs/document/view?id=7521088653","  (3 pages)")</f>
        <v xml:space="preserve">  (3 pages)</v>
      </c>
      <c r="C834" s="15" t="s">
        <v>855</v>
      </c>
      <c r="D834" s="16"/>
      <c r="E834" s="17" t="s">
        <v>1076</v>
      </c>
    </row>
    <row r="835" spans="1:5" s="28" customFormat="1" ht="13.8" x14ac:dyDescent="0.3">
      <c r="A835" s="13" t="s">
        <v>421</v>
      </c>
      <c r="B835" s="14" t="str">
        <f>HYPERLINK("http://apps.fcc.gov/ecfs/document/view?id=7521088457","  (2 pages)")</f>
        <v xml:space="preserve">  (2 pages)</v>
      </c>
      <c r="C835" s="15" t="s">
        <v>854</v>
      </c>
      <c r="D835" s="16"/>
      <c r="E835" s="17" t="s">
        <v>977</v>
      </c>
    </row>
    <row r="836" spans="1:5" s="28" customFormat="1" ht="13.8" x14ac:dyDescent="0.3">
      <c r="A836" s="29" t="s">
        <v>602</v>
      </c>
      <c r="B836" s="24" t="str">
        <f>HYPERLINK("http://apps.fcc.gov/ecfs/document/view?id=7521089623","Expression of Interest (2 pages)")</f>
        <v>Expression of Interest (2 pages)</v>
      </c>
      <c r="C836" s="17" t="s">
        <v>871</v>
      </c>
      <c r="D836" s="26"/>
      <c r="E836" s="17" t="s">
        <v>1048</v>
      </c>
    </row>
    <row r="837" spans="1:5" s="28" customFormat="1" ht="13.8" x14ac:dyDescent="0.3">
      <c r="A837" s="29" t="s">
        <v>621</v>
      </c>
      <c r="B837" s="24" t="str">
        <f>HYPERLINK("http://apps.fcc.gov/ecfs/document/view?id=7521089534","Expression of Interest (2 pages)")</f>
        <v>Expression of Interest (2 pages)</v>
      </c>
      <c r="C837" s="17" t="s">
        <v>854</v>
      </c>
      <c r="D837" s="26"/>
      <c r="E837" s="17" t="s">
        <v>979</v>
      </c>
    </row>
    <row r="838" spans="1:5" s="28" customFormat="1" ht="27.6" x14ac:dyDescent="0.3">
      <c r="A838" s="29" t="s">
        <v>601</v>
      </c>
      <c r="B838" s="24" t="str">
        <f>HYPERLINK("http://apps.fcc.gov/ecfs/document/view?id=7521089800","EOI for North Rhea County TN (3 pages)")</f>
        <v>EOI for North Rhea County TN (3 pages)</v>
      </c>
      <c r="C838" s="17" t="s">
        <v>855</v>
      </c>
      <c r="D838" s="26"/>
      <c r="E838" s="17" t="s">
        <v>973</v>
      </c>
    </row>
    <row r="839" spans="1:5" s="28" customFormat="1" ht="13.8" x14ac:dyDescent="0.3">
      <c r="A839" s="29" t="s">
        <v>620</v>
      </c>
      <c r="B839" s="24" t="str">
        <f>HYPERLINK("http://apps.fcc.gov/ecfs/document/view?id=7521089235","Expression of Interest (3 pages)")</f>
        <v>Expression of Interest (3 pages)</v>
      </c>
      <c r="C839" s="17" t="s">
        <v>855</v>
      </c>
      <c r="D839" s="26" t="s">
        <v>1067</v>
      </c>
      <c r="E839" s="17" t="s">
        <v>943</v>
      </c>
    </row>
    <row r="840" spans="1:5" s="28" customFormat="1" ht="27.6" x14ac:dyDescent="0.3">
      <c r="A840" s="13" t="s">
        <v>22</v>
      </c>
      <c r="B840" s="14" t="str">
        <f>HYPERLINK("http://apps.fcc.gov/ecfs/document/view?id=7521089298","Spruce Knob Seneca Rocks Expression of Interest (6 pages)")</f>
        <v>Spruce Knob Seneca Rocks Expression of Interest (6 pages)</v>
      </c>
      <c r="C840" s="15" t="s">
        <v>856</v>
      </c>
      <c r="D840" s="16"/>
      <c r="E840" s="17" t="s">
        <v>936</v>
      </c>
    </row>
    <row r="841" spans="1:5" s="28" customFormat="1" ht="13.8" x14ac:dyDescent="0.3">
      <c r="A841" s="13" t="s">
        <v>21</v>
      </c>
      <c r="B841" s="14" t="str">
        <f>HYPERLINK("http://apps.fcc.gov/ecfs/document/view?id=7521089430","  (2 pages)")</f>
        <v xml:space="preserve">  (2 pages)</v>
      </c>
      <c r="C841" s="15" t="s">
        <v>854</v>
      </c>
      <c r="D841" s="16"/>
      <c r="E841" s="17" t="s">
        <v>2</v>
      </c>
    </row>
    <row r="842" spans="1:5" s="28" customFormat="1" ht="13.8" x14ac:dyDescent="0.3">
      <c r="A842" s="29" t="s">
        <v>600</v>
      </c>
      <c r="B842" s="24" t="str">
        <f>HYPERLINK("http://apps.fcc.gov/ecfs/document/view?id=7521089738","Expression of Interest (2 pages)")</f>
        <v>Expression of Interest (2 pages)</v>
      </c>
      <c r="C842" s="17" t="s">
        <v>854</v>
      </c>
      <c r="D842" s="26"/>
      <c r="E842" s="17" t="s">
        <v>1047</v>
      </c>
    </row>
    <row r="843" spans="1:5" s="28" customFormat="1" ht="13.8" x14ac:dyDescent="0.3">
      <c r="A843" s="13" t="s">
        <v>477</v>
      </c>
      <c r="B843" s="14" t="str">
        <f>HYPERLINK("http://apps.fcc.gov/ecfs/document/view?id=7521088164","Expression of Interest Letter (2 pages)")</f>
        <v>Expression of Interest Letter (2 pages)</v>
      </c>
      <c r="C843" s="15" t="s">
        <v>854</v>
      </c>
      <c r="D843" s="16"/>
      <c r="E843" s="17" t="s">
        <v>940</v>
      </c>
    </row>
    <row r="844" spans="1:5" s="28" customFormat="1" ht="13.8" x14ac:dyDescent="0.3">
      <c r="A844" s="13" t="s">
        <v>20</v>
      </c>
      <c r="B844" s="14" t="str">
        <f>HYPERLINK("http://apps.fcc.gov/ecfs/document/view?id=7521089393","  (2 pages)")</f>
        <v xml:space="preserve">  (2 pages)</v>
      </c>
      <c r="C844" s="15" t="s">
        <v>854</v>
      </c>
      <c r="D844" s="16"/>
      <c r="E844" s="17" t="s">
        <v>924</v>
      </c>
    </row>
    <row r="845" spans="1:5" s="28" customFormat="1" ht="13.8" x14ac:dyDescent="0.3">
      <c r="A845" s="13" t="s">
        <v>264</v>
      </c>
      <c r="B845" s="14" t="str">
        <f>HYPERLINK("http://apps.fcc.gov/ecfs/document/view?id=7521088938","  (1 page)")</f>
        <v xml:space="preserve">  (1 page)</v>
      </c>
      <c r="C845" s="15" t="s">
        <v>862</v>
      </c>
      <c r="D845" s="16"/>
      <c r="E845" s="17" t="s">
        <v>927</v>
      </c>
    </row>
    <row r="846" spans="1:5" s="28" customFormat="1" ht="13.8" x14ac:dyDescent="0.3">
      <c r="A846" s="28" t="s">
        <v>1107</v>
      </c>
      <c r="B846" s="10" t="str">
        <f>HYPERLINK("http://apps.fcc.gov/ecfs/document/view?id=7521093885","CAF II Rural Experiment State of Arizona Expression Of Interest (8 pages)")</f>
        <v>CAF II Rural Experiment State of Arizona Expression Of Interest (8 pages)</v>
      </c>
      <c r="C846" s="17" t="s">
        <v>873</v>
      </c>
      <c r="D846" s="29"/>
      <c r="E846" s="17" t="s">
        <v>1010</v>
      </c>
    </row>
    <row r="847" spans="1:5" s="28" customFormat="1" ht="13.8" x14ac:dyDescent="0.3">
      <c r="A847" s="13" t="s">
        <v>19</v>
      </c>
      <c r="B847" s="14" t="str">
        <f>HYPERLINK("http://apps.fcc.gov/ecfs/document/view?id=7521089252","  (2 pages)")</f>
        <v xml:space="preserve">  (2 pages)</v>
      </c>
      <c r="C847" s="15" t="s">
        <v>854</v>
      </c>
      <c r="D847" s="16"/>
      <c r="E847" s="17"/>
    </row>
    <row r="848" spans="1:5" s="28" customFormat="1" ht="13.8" x14ac:dyDescent="0.3">
      <c r="A848" s="29" t="s">
        <v>599</v>
      </c>
      <c r="B848" s="24" t="str">
        <f>HYPERLINK("http://apps.fcc.gov/ecfs/document/view?id=7521089527","Expression Of Interest (1 page)")</f>
        <v>Expression Of Interest (1 page)</v>
      </c>
      <c r="C848" s="17" t="s">
        <v>862</v>
      </c>
      <c r="D848" s="26" t="s">
        <v>1046</v>
      </c>
      <c r="E848" s="17" t="s">
        <v>943</v>
      </c>
    </row>
    <row r="849" spans="1:5" s="28" customFormat="1" ht="13.8" x14ac:dyDescent="0.3">
      <c r="A849" s="13" t="s">
        <v>348</v>
      </c>
      <c r="B849" s="14" t="str">
        <f>HYPERLINK("http://apps.fcc.gov/ecfs/document/view?id=7521088747","Expression of Interest 10 90 (6 pages)")</f>
        <v>Expression of Interest 10 90 (6 pages)</v>
      </c>
      <c r="C849" s="15" t="s">
        <v>856</v>
      </c>
      <c r="D849" s="16"/>
      <c r="E849" s="17" t="s">
        <v>932</v>
      </c>
    </row>
    <row r="850" spans="1:5" s="28" customFormat="1" ht="13.8" x14ac:dyDescent="0.3">
      <c r="A850" s="13" t="s">
        <v>259</v>
      </c>
      <c r="B850" s="14" t="str">
        <f>HYPERLINK("http://apps.fcc.gov/ecfs/document/view?id=7521088836","  (2 pages)")</f>
        <v xml:space="preserve">  (2 pages)</v>
      </c>
      <c r="C850" s="15" t="s">
        <v>854</v>
      </c>
      <c r="D850" s="16"/>
      <c r="E850" s="17" t="s">
        <v>1010</v>
      </c>
    </row>
    <row r="851" spans="1:5" s="28" customFormat="1" ht="13.8" x14ac:dyDescent="0.3">
      <c r="A851" s="13" t="s">
        <v>18</v>
      </c>
      <c r="B851" s="14" t="str">
        <f>HYPERLINK("http://apps.fcc.gov/ecfs/document/view?id=7521089385","Expression of Interest (3 pages)")</f>
        <v>Expression of Interest (3 pages)</v>
      </c>
      <c r="C851" s="15" t="s">
        <v>855</v>
      </c>
      <c r="D851" s="16"/>
      <c r="E851" s="17" t="s">
        <v>935</v>
      </c>
    </row>
    <row r="852" spans="1:5" s="28" customFormat="1" ht="13.8" x14ac:dyDescent="0.3">
      <c r="A852" s="28" t="s">
        <v>1088</v>
      </c>
      <c r="B852" s="10" t="str">
        <f>HYPERLINK("http://apps.fcc.gov/ecfs/document/view?id=7521092630","Rural Broadband Expression of Interest (3 pages)")</f>
        <v>Rural Broadband Expression of Interest (3 pages)</v>
      </c>
      <c r="C852" s="17" t="s">
        <v>855</v>
      </c>
      <c r="D852" s="29"/>
      <c r="E852" s="28" t="s">
        <v>1186</v>
      </c>
    </row>
    <row r="853" spans="1:5" s="28" customFormat="1" ht="13.8" x14ac:dyDescent="0.3">
      <c r="A853" s="29" t="s">
        <v>912</v>
      </c>
      <c r="B853" s="24" t="str">
        <f>HYPERLINK("http://apps.fcc.gov/ecfs/document/view?id=7521090079","  (2 pages)")</f>
        <v xml:space="preserve">  (2 pages)</v>
      </c>
      <c r="C853" s="30" t="s">
        <v>854</v>
      </c>
      <c r="D853" s="26"/>
      <c r="E853" s="17" t="s">
        <v>932</v>
      </c>
    </row>
    <row r="854" spans="1:5" s="28" customFormat="1" ht="13.8" x14ac:dyDescent="0.3">
      <c r="A854" s="29" t="s">
        <v>598</v>
      </c>
      <c r="B854" s="24" t="str">
        <f>HYPERLINK("http://apps.fcc.gov/ecfs/document/view?id=7521089902","  (3 pages)")</f>
        <v xml:space="preserve">  (3 pages)</v>
      </c>
      <c r="C854" s="17" t="s">
        <v>855</v>
      </c>
      <c r="D854" s="26"/>
      <c r="E854" s="17" t="s">
        <v>1045</v>
      </c>
    </row>
    <row r="855" spans="1:5" s="28" customFormat="1" ht="13.8" x14ac:dyDescent="0.3">
      <c r="A855" s="13" t="s">
        <v>258</v>
      </c>
      <c r="B855" s="14" t="str">
        <f>HYPERLINK("http://apps.fcc.gov/ecfs/document/view?id=7521088978","  (2 pages)")</f>
        <v xml:space="preserve">  (2 pages)</v>
      </c>
      <c r="C855" s="15" t="s">
        <v>854</v>
      </c>
      <c r="D855" s="16"/>
      <c r="E855" s="17" t="s">
        <v>1112</v>
      </c>
    </row>
    <row r="856" spans="1:5" s="28" customFormat="1" ht="13.8" x14ac:dyDescent="0.3">
      <c r="A856" s="13" t="s">
        <v>258</v>
      </c>
      <c r="B856" s="14" t="str">
        <f>HYPERLINK("http://apps.fcc.gov/ecfs/document/view?id=7521088968","  (2 pages)")</f>
        <v xml:space="preserve">  (2 pages)</v>
      </c>
      <c r="C856" s="15" t="s">
        <v>854</v>
      </c>
      <c r="D856" s="16"/>
      <c r="E856" s="17"/>
    </row>
    <row r="857" spans="1:5" s="28" customFormat="1" ht="13.8" x14ac:dyDescent="0.3">
      <c r="A857" s="13" t="s">
        <v>17</v>
      </c>
      <c r="B857" s="14" t="str">
        <f>HYPERLINK("http://apps.fcc.gov/ecfs/document/view?id=7521089268","STC Expression of Interest (2 pages)")</f>
        <v>STC Expression of Interest (2 pages)</v>
      </c>
      <c r="C857" s="15" t="s">
        <v>854</v>
      </c>
      <c r="D857" s="16"/>
      <c r="E857" s="17" t="s">
        <v>933</v>
      </c>
    </row>
    <row r="858" spans="1:5" s="28" customFormat="1" ht="41.4" x14ac:dyDescent="0.3">
      <c r="A858" s="13" t="s">
        <v>257</v>
      </c>
      <c r="B858" s="14" t="str">
        <f>HYPERLINK("http://apps.fcc.gov/ecfs/document/view?id=7521088794","Expression Of Interest Rural CAF Experiment Docket 10 90 Warsaw Fiber (3 pages)")</f>
        <v>Expression Of Interest Rural CAF Experiment Docket 10 90 Warsaw Fiber (3 pages)</v>
      </c>
      <c r="C858" s="15" t="s">
        <v>855</v>
      </c>
      <c r="D858" s="16"/>
      <c r="E858" s="17" t="s">
        <v>931</v>
      </c>
    </row>
    <row r="859" spans="1:5" s="28" customFormat="1" ht="13.8" x14ac:dyDescent="0.3">
      <c r="A859" s="13" t="s">
        <v>521</v>
      </c>
      <c r="B859" s="14" t="str">
        <f>HYPERLINK("http://apps.fcc.gov/ecfs/document/view?id=7521087968","Expression of Interest (2 pages)")</f>
        <v>Expression of Interest (2 pages)</v>
      </c>
      <c r="C859" s="15" t="s">
        <v>854</v>
      </c>
      <c r="D859" s="16"/>
      <c r="E859" s="17" t="s">
        <v>988</v>
      </c>
    </row>
    <row r="860" spans="1:5" s="28" customFormat="1" ht="13.8" x14ac:dyDescent="0.3">
      <c r="A860" s="13" t="s">
        <v>524</v>
      </c>
      <c r="B860" s="14" t="str">
        <f>HYPERLINK("http://apps.fcc.gov/ecfs/document/view?id=7521087976","Expression of Interest (5 pages)")</f>
        <v>Expression of Interest (5 pages)</v>
      </c>
      <c r="C860" s="15" t="s">
        <v>857</v>
      </c>
      <c r="D860" s="16" t="s">
        <v>997</v>
      </c>
      <c r="E860" s="17" t="s">
        <v>1005</v>
      </c>
    </row>
    <row r="861" spans="1:5" s="28" customFormat="1" ht="13.8" x14ac:dyDescent="0.3">
      <c r="A861" s="13" t="s">
        <v>255</v>
      </c>
      <c r="B861" s="14" t="str">
        <f>HYPERLINK("http://apps.fcc.gov/ecfs/document/view?id=7521088882","  (4 pages)")</f>
        <v xml:space="preserve">  (4 pages)</v>
      </c>
      <c r="C861" s="15" t="s">
        <v>859</v>
      </c>
      <c r="D861" s="16"/>
      <c r="E861" s="17" t="s">
        <v>961</v>
      </c>
    </row>
    <row r="862" spans="1:5" s="28" customFormat="1" ht="13.8" x14ac:dyDescent="0.3">
      <c r="A862" s="29" t="s">
        <v>596</v>
      </c>
      <c r="B862" s="24" t="str">
        <f>HYPERLINK("http://apps.fcc.gov/ecfs/document/view?id=7521089596","  (7 pages)")</f>
        <v xml:space="preserve">  (7 pages)</v>
      </c>
      <c r="C862" s="17" t="s">
        <v>866</v>
      </c>
      <c r="D862" s="26" t="s">
        <v>1030</v>
      </c>
      <c r="E862" s="17" t="s">
        <v>937</v>
      </c>
    </row>
    <row r="863" spans="1:5" s="28" customFormat="1" ht="13.8" x14ac:dyDescent="0.3">
      <c r="A863" s="29" t="s">
        <v>595</v>
      </c>
      <c r="B863" s="24" t="str">
        <f>HYPERLINK("http://apps.fcc.gov/ecfs/document/view?id=7521089895","expression of interest (1 page)")</f>
        <v>expression of interest (1 page)</v>
      </c>
      <c r="C863" s="17" t="s">
        <v>862</v>
      </c>
      <c r="D863" s="26" t="s">
        <v>1029</v>
      </c>
      <c r="E863" s="17" t="s">
        <v>928</v>
      </c>
    </row>
    <row r="864" spans="1:5" s="28" customFormat="1" ht="41.4" x14ac:dyDescent="0.3">
      <c r="A864" s="29" t="s">
        <v>594</v>
      </c>
      <c r="B864" s="24" t="str">
        <f>HYPERLINK("http://apps.fcc.gov/ecfs/document/view?id=7521089791","Teleco Bureau Inc Expression of Interest 3 6 2014 WC Docket No 10 90 (2 pages)")</f>
        <v>Teleco Bureau Inc Expression of Interest 3 6 2014 WC Docket No 10 90 (2 pages)</v>
      </c>
      <c r="C864" s="17" t="s">
        <v>854</v>
      </c>
      <c r="D864" s="26"/>
      <c r="E864" s="17" t="s">
        <v>927</v>
      </c>
    </row>
    <row r="865" spans="1:5" s="28" customFormat="1" ht="27.6" x14ac:dyDescent="0.3">
      <c r="A865" s="29" t="s">
        <v>593</v>
      </c>
      <c r="B865" s="24" t="str">
        <f>HYPERLINK("http://apps.fcc.gov/ecfs/document/view?id=7521089944","TW Expression of Interest CAF (3 pages)")</f>
        <v>TW Expression of Interest CAF (3 pages)</v>
      </c>
      <c r="C865" s="17" t="s">
        <v>855</v>
      </c>
      <c r="D865" s="26"/>
      <c r="E865" s="17" t="s">
        <v>973</v>
      </c>
    </row>
    <row r="866" spans="1:5" s="28" customFormat="1" ht="27.6" x14ac:dyDescent="0.3">
      <c r="A866" s="13" t="s">
        <v>531</v>
      </c>
      <c r="B866" s="14" t="str">
        <f>HYPERLINK("http://apps.fcc.gov/ecfs/document/view?id=7521084711","  (3 pages)")</f>
        <v xml:space="preserve">  (3 pages)</v>
      </c>
      <c r="C866" s="15" t="s">
        <v>855</v>
      </c>
      <c r="D866" s="16" t="s">
        <v>1000</v>
      </c>
      <c r="E866" s="17" t="s">
        <v>928</v>
      </c>
    </row>
    <row r="867" spans="1:5" s="28" customFormat="1" ht="27.6" x14ac:dyDescent="0.3">
      <c r="A867" s="29" t="s">
        <v>592</v>
      </c>
      <c r="B867" s="24" t="str">
        <f>HYPERLINK("http://apps.fcc.gov/ecfs/document/view?id=7521089604","Terrel Expression of Interest (13 pages)")</f>
        <v>Terrel Expression of Interest (13 pages)</v>
      </c>
      <c r="C867" s="17" t="s">
        <v>871</v>
      </c>
      <c r="D867" s="26"/>
      <c r="E867" s="17" t="s">
        <v>1028</v>
      </c>
    </row>
    <row r="868" spans="1:5" s="28" customFormat="1" ht="27.6" x14ac:dyDescent="0.3">
      <c r="A868" s="29" t="s">
        <v>591</v>
      </c>
      <c r="B868" s="24" t="str">
        <f>HYPERLINK("http://apps.fcc.gov/ecfs/document/view?id=7521089921","  (14 pages)")</f>
        <v xml:space="preserve">  (14 pages)</v>
      </c>
      <c r="C868" s="17" t="s">
        <v>867</v>
      </c>
      <c r="D868" s="26"/>
      <c r="E868" s="17" t="s">
        <v>1027</v>
      </c>
    </row>
    <row r="869" spans="1:5" s="28" customFormat="1" ht="27.6" x14ac:dyDescent="0.3">
      <c r="A869" s="13" t="s">
        <v>476</v>
      </c>
      <c r="B869" s="14" t="str">
        <f>HYPERLINK("http://apps.fcc.gov/ecfs/document/view?id=7521088286","Rural Experiment Letter of Interest (3 pages)")</f>
        <v>Rural Experiment Letter of Interest (3 pages)</v>
      </c>
      <c r="C869" s="15" t="s">
        <v>859</v>
      </c>
      <c r="D869" s="16"/>
      <c r="E869" s="17" t="s">
        <v>938</v>
      </c>
    </row>
    <row r="870" spans="1:5" s="28" customFormat="1" ht="13.8" x14ac:dyDescent="0.3">
      <c r="A870" s="13" t="s">
        <v>347</v>
      </c>
      <c r="B870" s="14" t="str">
        <f>HYPERLINK("http://apps.fcc.gov/ecfs/document/view?id=7521088754"," (2 pages)")</f>
        <v xml:space="preserve"> (2 pages)</v>
      </c>
      <c r="C870" s="15" t="s">
        <v>854</v>
      </c>
      <c r="D870" s="16" t="s">
        <v>1075</v>
      </c>
      <c r="E870" s="17" t="s">
        <v>1057</v>
      </c>
    </row>
    <row r="871" spans="1:5" s="28" customFormat="1" ht="13.8" x14ac:dyDescent="0.3">
      <c r="A871" s="13" t="s">
        <v>16</v>
      </c>
      <c r="B871" s="14" t="str">
        <f>HYPERLINK("http://apps.fcc.gov/ecfs/document/view?id=7521089437","  (2 pages)")</f>
        <v xml:space="preserve">  (2 pages)</v>
      </c>
      <c r="C871" s="15" t="s">
        <v>854</v>
      </c>
      <c r="D871" s="16"/>
      <c r="E871" s="17" t="s">
        <v>934</v>
      </c>
    </row>
    <row r="872" spans="1:5" s="28" customFormat="1" ht="27.6" x14ac:dyDescent="0.3">
      <c r="A872" s="29" t="s">
        <v>590</v>
      </c>
      <c r="B872" s="24" t="str">
        <f>HYPERLINK("http://apps.fcc.gov/ecfs/document/view?id=7521089488","Bayou Telephone Expression of Interest (5 pages)")</f>
        <v>Bayou Telephone Expression of Interest (5 pages)</v>
      </c>
      <c r="C872" s="17" t="s">
        <v>857</v>
      </c>
      <c r="D872" s="26"/>
      <c r="E872" s="17" t="s">
        <v>967</v>
      </c>
    </row>
    <row r="873" spans="1:5" s="28" customFormat="1" ht="13.8" x14ac:dyDescent="0.3">
      <c r="A873" s="13" t="s">
        <v>254</v>
      </c>
      <c r="B873" s="14" t="str">
        <f>HYPERLINK("http://apps.fcc.gov/ecfs/document/view?id=7521088767","  (2 pages)")</f>
        <v xml:space="preserve">  (2 pages)</v>
      </c>
      <c r="C873" s="15" t="s">
        <v>854</v>
      </c>
      <c r="D873" s="16"/>
      <c r="E873" s="17" t="s">
        <v>931</v>
      </c>
    </row>
    <row r="874" spans="1:5" s="28" customFormat="1" ht="13.8" x14ac:dyDescent="0.3">
      <c r="A874" s="29" t="s">
        <v>589</v>
      </c>
      <c r="B874" s="24" t="str">
        <f>HYPERLINK("http://apps.fcc.gov/ecfs/document/view?id=7521089484","Expression of Intent (11 pages)")</f>
        <v>Expression of Intent (11 pages)</v>
      </c>
      <c r="C874" s="17" t="s">
        <v>876</v>
      </c>
      <c r="D874" s="26"/>
      <c r="E874" s="17" t="s">
        <v>938</v>
      </c>
    </row>
    <row r="875" spans="1:5" s="28" customFormat="1" ht="13.8" x14ac:dyDescent="0.3">
      <c r="A875" s="13" t="s">
        <v>475</v>
      </c>
      <c r="B875" s="14" t="str">
        <f>HYPERLINK("http://apps.fcc.gov/ecfs/document/view?id=7521088126","Expression of Interest Letter (2 pages)")</f>
        <v>Expression of Interest Letter (2 pages)</v>
      </c>
      <c r="C875" s="15" t="s">
        <v>854</v>
      </c>
      <c r="D875" s="16"/>
      <c r="E875" s="17" t="s">
        <v>933</v>
      </c>
    </row>
    <row r="876" spans="1:5" s="28" customFormat="1" ht="27.6" x14ac:dyDescent="0.3">
      <c r="A876" s="13" t="s">
        <v>15</v>
      </c>
      <c r="B876" s="14" t="str">
        <f>HYPERLINK("http://apps.fcc.gov/ecfs/document/view?id=7521089308","Expression of Interest for IP Trials in Ashland Couty Ohio (3 pages)")</f>
        <v>Expression of Interest for IP Trials in Ashland Couty Ohio (3 pages)</v>
      </c>
      <c r="C876" s="15" t="s">
        <v>855</v>
      </c>
      <c r="D876" s="16"/>
      <c r="E876" s="17" t="s">
        <v>933</v>
      </c>
    </row>
    <row r="877" spans="1:5" s="28" customFormat="1" ht="13.8" x14ac:dyDescent="0.3">
      <c r="A877" s="13" t="s">
        <v>253</v>
      </c>
      <c r="B877" s="14" t="str">
        <f>HYPERLINK("http://apps.fcc.gov/ecfs/document/view?id=7521088983","Expression of Interest (7 pages)")</f>
        <v>Expression of Interest (7 pages)</v>
      </c>
      <c r="C877" s="15" t="s">
        <v>866</v>
      </c>
      <c r="D877" s="16"/>
      <c r="E877" s="17" t="s">
        <v>925</v>
      </c>
    </row>
    <row r="878" spans="1:5" s="28" customFormat="1" ht="27.6" x14ac:dyDescent="0.3">
      <c r="A878" s="29" t="s">
        <v>588</v>
      </c>
      <c r="B878" s="24" t="str">
        <f>HYPERLINK("http://apps.fcc.gov/ecfs/document/view?id=7521089672","The Wired Road Authority Expression of Interest (2 pages)")</f>
        <v>The Wired Road Authority Expression of Interest (2 pages)</v>
      </c>
      <c r="C878" s="17" t="s">
        <v>854</v>
      </c>
      <c r="D878" s="26"/>
      <c r="E878" s="17" t="s">
        <v>932</v>
      </c>
    </row>
    <row r="879" spans="1:5" s="28" customFormat="1" ht="27.6" x14ac:dyDescent="0.3">
      <c r="A879" s="13" t="s">
        <v>14</v>
      </c>
      <c r="B879" s="14" t="str">
        <f>HYPERLINK("http://apps.fcc.gov/ecfs/document/view?id=7521089464","expression of interest in rural broadband initiative (2 pages)")</f>
        <v>expression of interest in rural broadband initiative (2 pages)</v>
      </c>
      <c r="C879" s="15" t="s">
        <v>854</v>
      </c>
      <c r="D879" s="16" t="s">
        <v>1138</v>
      </c>
      <c r="E879" s="17" t="s">
        <v>932</v>
      </c>
    </row>
    <row r="880" spans="1:5" s="28" customFormat="1" ht="13.8" x14ac:dyDescent="0.3">
      <c r="A880" s="29" t="s">
        <v>587</v>
      </c>
      <c r="B880" s="24" t="str">
        <f>HYPERLINK("http://apps.fcc.gov/ecfs/document/view?id=7521089747","  (2 pages)")</f>
        <v xml:space="preserve">  (2 pages)</v>
      </c>
      <c r="C880" s="17" t="s">
        <v>854</v>
      </c>
      <c r="D880" s="26" t="s">
        <v>1009</v>
      </c>
      <c r="E880" s="17"/>
    </row>
    <row r="881" spans="1:5" s="28" customFormat="1" ht="13.8" x14ac:dyDescent="0.3">
      <c r="A881" s="13" t="s">
        <v>474</v>
      </c>
      <c r="B881" s="14" t="str">
        <f>HYPERLINK("http://apps.fcc.gov/ecfs/document/view?id=7521088138","Expresion of Interest Letter (2 pages)")</f>
        <v>Expresion of Interest Letter (2 pages)</v>
      </c>
      <c r="C881" s="15" t="s">
        <v>854</v>
      </c>
      <c r="D881" s="16"/>
      <c r="E881" s="17" t="s">
        <v>940</v>
      </c>
    </row>
    <row r="882" spans="1:5" s="28" customFormat="1" ht="13.8" x14ac:dyDescent="0.3">
      <c r="A882" s="13" t="s">
        <v>145</v>
      </c>
      <c r="B882" s="14" t="str">
        <f>HYPERLINK("http://apps.fcc.gov/ecfs/document/view?id=7521089106","Broadband Experiment (2 pages)")</f>
        <v>Broadband Experiment (2 pages)</v>
      </c>
      <c r="C882" s="15" t="s">
        <v>854</v>
      </c>
      <c r="D882" s="16"/>
      <c r="E882" s="17" t="s">
        <v>969</v>
      </c>
    </row>
    <row r="883" spans="1:5" s="28" customFormat="1" ht="13.8" x14ac:dyDescent="0.3">
      <c r="A883" s="13" t="s">
        <v>473</v>
      </c>
      <c r="B883" s="14" t="str">
        <f>HYPERLINK("http://apps.fcc.gov/ecfs/document/view?id=7521087627","Expression of Interest (5 pages)")</f>
        <v>Expression of Interest (5 pages)</v>
      </c>
      <c r="C883" s="15" t="s">
        <v>857</v>
      </c>
      <c r="D883" s="16"/>
      <c r="E883" s="17" t="s">
        <v>964</v>
      </c>
    </row>
    <row r="884" spans="1:5" s="28" customFormat="1" ht="13.8" x14ac:dyDescent="0.3">
      <c r="A884" s="29" t="s">
        <v>586</v>
      </c>
      <c r="B884" s="24" t="str">
        <f>HYPERLINK("http://apps.fcc.gov/ecfs/document/view?id=7521089779","  (5 pages)")</f>
        <v xml:space="preserve">  (5 pages)</v>
      </c>
      <c r="C884" s="17" t="s">
        <v>857</v>
      </c>
      <c r="D884" s="26"/>
      <c r="E884" s="17" t="s">
        <v>959</v>
      </c>
    </row>
    <row r="885" spans="1:5" s="28" customFormat="1" ht="27.6" x14ac:dyDescent="0.3">
      <c r="A885" s="13" t="s">
        <v>13</v>
      </c>
      <c r="B885" s="14" t="str">
        <f>HYPERLINK("http://apps.fcc.gov/ecfs/document/view?id=7521089443","EOI for Rural Broadband Experiment (18 pages)")</f>
        <v>EOI for Rural Broadband Experiment (18 pages)</v>
      </c>
      <c r="C885" s="15" t="s">
        <v>858</v>
      </c>
      <c r="D885" s="16"/>
      <c r="E885" s="17" t="s">
        <v>931</v>
      </c>
    </row>
    <row r="886" spans="1:5" s="28" customFormat="1" ht="13.8" x14ac:dyDescent="0.3">
      <c r="A886" s="13" t="s">
        <v>346</v>
      </c>
      <c r="B886" s="14" t="str">
        <f>HYPERLINK("http://apps.fcc.gov/ecfs/document/view?id=7521088734","  (4 pages)")</f>
        <v xml:space="preserve">  (4 pages)</v>
      </c>
      <c r="C886" s="15" t="s">
        <v>859</v>
      </c>
      <c r="D886" s="16"/>
      <c r="E886" s="17" t="s">
        <v>964</v>
      </c>
    </row>
    <row r="887" spans="1:5" s="28" customFormat="1" ht="13.8" x14ac:dyDescent="0.3">
      <c r="A887" s="29" t="s">
        <v>585</v>
      </c>
      <c r="B887" s="24" t="str">
        <f>HYPERLINK("http://apps.fcc.gov/ecfs/document/view?id=7521089737","  (3 pages)")</f>
        <v xml:space="preserve">  (3 pages)</v>
      </c>
      <c r="C887" s="17" t="s">
        <v>855</v>
      </c>
      <c r="D887" s="26" t="s">
        <v>1008</v>
      </c>
      <c r="E887" s="17" t="s">
        <v>930</v>
      </c>
    </row>
    <row r="888" spans="1:5" s="28" customFormat="1" ht="27.6" x14ac:dyDescent="0.3">
      <c r="A888" s="29" t="s">
        <v>584</v>
      </c>
      <c r="B888" s="24" t="str">
        <f>HYPERLINK("http://apps.fcc.gov/ecfs/document/view?id=7521089688","FCC Exp of Interest Rural Broadband Experiments (3 pages)")</f>
        <v>FCC Exp of Interest Rural Broadband Experiments (3 pages)</v>
      </c>
      <c r="C888" s="17" t="s">
        <v>855</v>
      </c>
      <c r="D888" s="26" t="s">
        <v>1007</v>
      </c>
      <c r="E888" s="17" t="s">
        <v>942</v>
      </c>
    </row>
    <row r="889" spans="1:5" s="28" customFormat="1" ht="13.8" x14ac:dyDescent="0.3">
      <c r="A889" s="13" t="s">
        <v>12</v>
      </c>
      <c r="B889" s="14" t="str">
        <f>HYPERLINK("http://apps.fcc.gov/ecfs/document/view?id=7521089354","  (5 pages)")</f>
        <v xml:space="preserve">  (5 pages)</v>
      </c>
      <c r="C889" s="15" t="s">
        <v>857</v>
      </c>
      <c r="D889" s="16"/>
      <c r="E889" s="17" t="s">
        <v>930</v>
      </c>
    </row>
    <row r="890" spans="1:5" s="28" customFormat="1" ht="13.8" x14ac:dyDescent="0.3">
      <c r="A890" s="13" t="s">
        <v>345</v>
      </c>
      <c r="B890" s="14" t="str">
        <f>HYPERLINK("http://apps.fcc.gov/ecfs/document/view?id=7521088668","Letter (10 pages)")</f>
        <v>Letter (10 pages)</v>
      </c>
      <c r="C890" s="15" t="s">
        <v>877</v>
      </c>
      <c r="D890" s="16"/>
      <c r="E890" s="17" t="s">
        <v>926</v>
      </c>
    </row>
    <row r="891" spans="1:5" s="28" customFormat="1" ht="27.6" x14ac:dyDescent="0.3">
      <c r="A891" s="13" t="s">
        <v>252</v>
      </c>
      <c r="B891" s="14" t="str">
        <f>HYPERLINK("http://apps.fcc.gov/ecfs/document/view?id=7521088783","Town of Benton ME Letter of Interest (2 pages)")</f>
        <v>Town of Benton ME Letter of Interest (2 pages)</v>
      </c>
      <c r="C891" s="15" t="s">
        <v>854</v>
      </c>
      <c r="D891" s="16"/>
      <c r="E891" s="17" t="s">
        <v>969</v>
      </c>
    </row>
    <row r="892" spans="1:5" s="28" customFormat="1" ht="27.6" x14ac:dyDescent="0.3">
      <c r="A892" s="13" t="s">
        <v>144</v>
      </c>
      <c r="B892" s="14" t="str">
        <f>HYPERLINK("http://apps.fcc.gov/ecfs/document/view?id=7521089046","Town of Cooper Expression of Interest (5 pages)")</f>
        <v>Town of Cooper Expression of Interest (5 pages)</v>
      </c>
      <c r="C892" s="15" t="s">
        <v>866</v>
      </c>
      <c r="D892" s="16"/>
      <c r="E892" s="17" t="s">
        <v>969</v>
      </c>
    </row>
    <row r="893" spans="1:5" s="28" customFormat="1" ht="13.8" x14ac:dyDescent="0.3">
      <c r="A893" s="13" t="s">
        <v>472</v>
      </c>
      <c r="B893" s="14" t="str">
        <f>HYPERLINK("http://apps.fcc.gov/ecfs/document/view?id=7521088099"," (1 page)")</f>
        <v xml:space="preserve"> (1 page)</v>
      </c>
      <c r="C893" s="15" t="s">
        <v>862</v>
      </c>
      <c r="D893" s="16"/>
      <c r="E893" s="17" t="s">
        <v>978</v>
      </c>
    </row>
    <row r="894" spans="1:5" s="28" customFormat="1" ht="27.6" x14ac:dyDescent="0.3">
      <c r="A894" s="13" t="s">
        <v>415</v>
      </c>
      <c r="B894" s="14" t="str">
        <f>HYPERLINK("http://apps.fcc.gov/ecfs/document/view?id=7521088604","Expression of Interest Connent America Town of Estes Park (4 pages)")</f>
        <v>Expression of Interest Connent America Town of Estes Park (4 pages)</v>
      </c>
      <c r="C894" s="15" t="s">
        <v>859</v>
      </c>
      <c r="D894" s="16"/>
      <c r="E894" s="17" t="s">
        <v>942</v>
      </c>
    </row>
    <row r="895" spans="1:5" s="28" customFormat="1" ht="13.8" x14ac:dyDescent="0.3">
      <c r="A895" s="13" t="s">
        <v>344</v>
      </c>
      <c r="B895" s="14" t="str">
        <f>HYPERLINK("http://apps.fcc.gov/ecfs/document/view?id=7521088700","  (1 page)")</f>
        <v xml:space="preserve">  (1 page)</v>
      </c>
      <c r="C895" s="15" t="s">
        <v>862</v>
      </c>
      <c r="D895" s="16"/>
      <c r="E895" s="17" t="s">
        <v>969</v>
      </c>
    </row>
    <row r="896" spans="1:5" s="28" customFormat="1" ht="13.8" x14ac:dyDescent="0.3">
      <c r="A896" s="13" t="s">
        <v>471</v>
      </c>
      <c r="B896" s="14" t="str">
        <f>HYPERLINK("http://apps.fcc.gov/ecfs/document/view?id=7521088316","Expression of Interest (2 pages)")</f>
        <v>Expression of Interest (2 pages)</v>
      </c>
      <c r="C896" s="15" t="s">
        <v>854</v>
      </c>
      <c r="D896" s="16"/>
      <c r="E896" s="17" t="s">
        <v>963</v>
      </c>
    </row>
    <row r="897" spans="1:5" s="28" customFormat="1" ht="27.6" x14ac:dyDescent="0.3">
      <c r="A897" s="13" t="s">
        <v>343</v>
      </c>
      <c r="B897" s="14" t="str">
        <f>HYPERLINK("http://apps.fcc.gov/ecfs/document/view?id=7521088657","Rural Broadband Experiment Expression of Interest (1 page)")</f>
        <v>Rural Broadband Experiment Expression of Interest (1 page)</v>
      </c>
      <c r="C897" s="15" t="s">
        <v>862</v>
      </c>
      <c r="D897" s="16"/>
      <c r="E897" s="17" t="s">
        <v>942</v>
      </c>
    </row>
    <row r="898" spans="1:5" s="28" customFormat="1" ht="41.4" x14ac:dyDescent="0.3">
      <c r="A898" s="13" t="s">
        <v>342</v>
      </c>
      <c r="B898" s="14" t="str">
        <f>HYPERLINK("http://apps.fcc.gov/ecfs/document/view?id=7521088699","Town of Terry Expression of Interest for Rural Broadband Experiments (2 pages)")</f>
        <v>Town of Terry Expression of Interest for Rural Broadband Experiments (2 pages)</v>
      </c>
      <c r="C898" s="15" t="s">
        <v>854</v>
      </c>
      <c r="D898" s="16"/>
      <c r="E898" s="17" t="s">
        <v>961</v>
      </c>
    </row>
    <row r="899" spans="1:5" s="28" customFormat="1" ht="13.8" x14ac:dyDescent="0.3">
      <c r="A899" s="13" t="s">
        <v>341</v>
      </c>
      <c r="B899" s="14" t="str">
        <f>HYPERLINK("http://apps.fcc.gov/ecfs/document/view?id=7521088714","Letter of Expression (3 pages)")</f>
        <v>Letter of Expression (3 pages)</v>
      </c>
      <c r="C899" s="15" t="s">
        <v>855</v>
      </c>
      <c r="D899" s="16"/>
      <c r="E899" s="17" t="s">
        <v>939</v>
      </c>
    </row>
    <row r="900" spans="1:5" s="28" customFormat="1" ht="27.6" x14ac:dyDescent="0.3">
      <c r="A900" s="29" t="s">
        <v>583</v>
      </c>
      <c r="B900" s="24" t="str">
        <f>HYPERLINK("http://apps.fcc.gov/ecfs/document/view?id=7521089371","Rural Broadband Experiment Expression of Interest (3 pages)")</f>
        <v>Rural Broadband Experiment Expression of Interest (3 pages)</v>
      </c>
      <c r="C900" s="17" t="s">
        <v>855</v>
      </c>
      <c r="D900" s="26"/>
      <c r="E900" s="17" t="s">
        <v>988</v>
      </c>
    </row>
    <row r="901" spans="1:5" s="28" customFormat="1" ht="13.8" x14ac:dyDescent="0.3">
      <c r="A901" s="29" t="s">
        <v>582</v>
      </c>
      <c r="B901" s="24" t="str">
        <f>HYPERLINK("http://apps.fcc.gov/ecfs/document/view?id=7521089614","  (3 pages)")</f>
        <v xml:space="preserve">  (3 pages)</v>
      </c>
      <c r="C901" s="17" t="s">
        <v>855</v>
      </c>
      <c r="D901" s="26"/>
      <c r="E901" s="17" t="s">
        <v>958</v>
      </c>
    </row>
    <row r="902" spans="1:5" s="28" customFormat="1" ht="27.6" x14ac:dyDescent="0.3">
      <c r="A902" s="29" t="s">
        <v>581</v>
      </c>
      <c r="B902" s="24" t="str">
        <f>HYPERLINK("http://apps.fcc.gov/ecfs/document/view?id=7521089511","Tri County Council EOI for Rural BB Pilot (2 pages)")</f>
        <v>Tri County Council EOI for Rural BB Pilot (2 pages)</v>
      </c>
      <c r="C902" s="17" t="s">
        <v>854</v>
      </c>
      <c r="D902" s="26"/>
      <c r="E902" s="17" t="s">
        <v>937</v>
      </c>
    </row>
    <row r="903" spans="1:5" s="28" customFormat="1" ht="27.6" x14ac:dyDescent="0.3">
      <c r="A903" s="13" t="s">
        <v>340</v>
      </c>
      <c r="B903" s="14" t="str">
        <f>HYPERLINK("http://apps.fcc.gov/ecfs/document/view?id=7521088684","EOI for Rural Broadband Experiment (8 pages)")</f>
        <v>EOI for Rural Broadband Experiment (8 pages)</v>
      </c>
      <c r="C903" s="15" t="s">
        <v>873</v>
      </c>
      <c r="D903" s="16"/>
      <c r="E903" s="17" t="s">
        <v>1074</v>
      </c>
    </row>
    <row r="904" spans="1:5" s="28" customFormat="1" ht="13.8" x14ac:dyDescent="0.3">
      <c r="A904" s="13" t="s">
        <v>11</v>
      </c>
      <c r="B904" s="14" t="str">
        <f>HYPERLINK("http://apps.fcc.gov/ecfs/document/view?id=7521089356","Letter of Interest RoR (2 pages)")</f>
        <v>Letter of Interest RoR (2 pages)</v>
      </c>
      <c r="C904" s="15" t="s">
        <v>854</v>
      </c>
      <c r="D904" s="16"/>
      <c r="E904" s="17" t="s">
        <v>929</v>
      </c>
    </row>
    <row r="905" spans="1:5" s="28" customFormat="1" ht="13.8" x14ac:dyDescent="0.3">
      <c r="A905" s="13" t="s">
        <v>546</v>
      </c>
      <c r="B905" s="14" t="str">
        <f>HYPERLINK("http://apps.fcc.gov/ecfs/document/view?id=7521075744"," (1 page)")</f>
        <v xml:space="preserve"> (1 page)</v>
      </c>
      <c r="C905" s="15" t="s">
        <v>862</v>
      </c>
      <c r="D905" s="16"/>
      <c r="E905" s="17" t="s">
        <v>961</v>
      </c>
    </row>
    <row r="906" spans="1:5" s="28" customFormat="1" ht="27.6" x14ac:dyDescent="0.3">
      <c r="A906" s="29" t="s">
        <v>580</v>
      </c>
      <c r="B906" s="24" t="str">
        <f>HYPERLINK("http://apps.fcc.gov/ecfs/document/view?id=7521089821","Expression of Interest WC Docket 10 90 (5 pages)")</f>
        <v>Expression of Interest WC Docket 10 90 (5 pages)</v>
      </c>
      <c r="C906" s="17" t="s">
        <v>857</v>
      </c>
      <c r="D906" s="26"/>
      <c r="E906" s="17" t="s">
        <v>968</v>
      </c>
    </row>
    <row r="907" spans="1:5" s="28" customFormat="1" ht="13.8" x14ac:dyDescent="0.3">
      <c r="A907" s="13" t="s">
        <v>143</v>
      </c>
      <c r="B907" s="14" t="str">
        <f>HYPERLINK("http://apps.fcc.gov/ecfs/document/view?id=7521089116","Letter of Interest RoR (2 pages)")</f>
        <v>Letter of Interest RoR (2 pages)</v>
      </c>
      <c r="C907" s="15" t="s">
        <v>854</v>
      </c>
      <c r="D907" s="16"/>
      <c r="E907" s="17" t="s">
        <v>1001</v>
      </c>
    </row>
    <row r="908" spans="1:5" s="28" customFormat="1" ht="13.8" x14ac:dyDescent="0.3">
      <c r="A908" s="13" t="s">
        <v>256</v>
      </c>
      <c r="B908" s="14" t="str">
        <f>HYPERLINK("http://apps.fcc.gov/ecfs/document/view?id=7521088972","  (3 pages)")</f>
        <v xml:space="preserve">  (3 pages)</v>
      </c>
      <c r="C908" s="15" t="s">
        <v>859</v>
      </c>
      <c r="D908" s="16"/>
      <c r="E908" s="17" t="s">
        <v>938</v>
      </c>
    </row>
    <row r="909" spans="1:5" s="28" customFormat="1" ht="27.6" x14ac:dyDescent="0.3">
      <c r="A909" s="29" t="s">
        <v>579</v>
      </c>
      <c r="B909" s="24" t="str">
        <f>HYPERLINK("http://apps.fcc.gov/ecfs/document/view?id=7521089600","Twin Lakes EOI Rural CAF Experiment (4 pages)")</f>
        <v>Twin Lakes EOI Rural CAF Experiment (4 pages)</v>
      </c>
      <c r="C909" s="17" t="s">
        <v>859</v>
      </c>
      <c r="D909" s="26"/>
      <c r="E909" s="17" t="s">
        <v>973</v>
      </c>
    </row>
    <row r="910" spans="1:5" s="28" customFormat="1" ht="13.8" x14ac:dyDescent="0.3">
      <c r="A910" s="28" t="s">
        <v>1087</v>
      </c>
      <c r="B910" s="10" t="str">
        <f>HYPERLINK("http://apps.fcc.gov/ecfs/document/view?id=7521093469","  (6 pages)")</f>
        <v xml:space="preserve">  (6 pages)</v>
      </c>
      <c r="C910" s="17" t="s">
        <v>856</v>
      </c>
      <c r="D910" s="29"/>
      <c r="E910" s="17" t="s">
        <v>930</v>
      </c>
    </row>
    <row r="911" spans="1:5" s="28" customFormat="1" ht="27.6" x14ac:dyDescent="0.3">
      <c r="A911" s="29" t="s">
        <v>597</v>
      </c>
      <c r="B911" s="24" t="str">
        <f>HYPERLINK("http://apps.fcc.gov/ecfs/document/view?id=7521089602","IP Experiment Expression of Interest TWIN Inc  (2 pages)")</f>
        <v>IP Experiment Expression of Interest TWIN Inc  (2 pages)</v>
      </c>
      <c r="C911" s="17" t="s">
        <v>854</v>
      </c>
      <c r="D911" s="26"/>
      <c r="E911" s="17" t="s">
        <v>926</v>
      </c>
    </row>
    <row r="912" spans="1:5" s="28" customFormat="1" ht="27.6" x14ac:dyDescent="0.3">
      <c r="A912" s="13" t="s">
        <v>251</v>
      </c>
      <c r="B912" s="14" t="str">
        <f>HYPERLINK("http://apps.fcc.gov/ecfs/document/view?id=7521088783","Town of Benton ME Letter of Interest (2 pages)")</f>
        <v>Town of Benton ME Letter of Interest (2 pages)</v>
      </c>
      <c r="C912" s="15" t="s">
        <v>854</v>
      </c>
      <c r="D912" s="16" t="s">
        <v>956</v>
      </c>
      <c r="E912" s="17" t="s">
        <v>972</v>
      </c>
    </row>
    <row r="913" spans="1:5" s="28" customFormat="1" ht="13.8" x14ac:dyDescent="0.3">
      <c r="A913" s="13" t="s">
        <v>538</v>
      </c>
      <c r="B913" s="14" t="str">
        <f>HYPERLINK("http://apps.fcc.gov/ecfs/document/view?id=7521082052","Expression of Interest (2 pages)")</f>
        <v>Expression of Interest (2 pages)</v>
      </c>
      <c r="C913" s="15" t="s">
        <v>854</v>
      </c>
      <c r="D913" s="16"/>
      <c r="E913" s="17" t="s">
        <v>931</v>
      </c>
    </row>
    <row r="914" spans="1:5" s="28" customFormat="1" ht="27.6" x14ac:dyDescent="0.3">
      <c r="A914" s="13" t="s">
        <v>250</v>
      </c>
      <c r="B914" s="14" t="str">
        <f>HYPERLINK("http://apps.fcc.gov/ecfs/document/view?id=7521088883","10 90 Letter of Interest (4 pages)")</f>
        <v>10 90 Letter of Interest (4 pages)</v>
      </c>
      <c r="C914" s="15" t="s">
        <v>859</v>
      </c>
      <c r="D914" s="16" t="s">
        <v>956</v>
      </c>
      <c r="E914" s="17" t="s">
        <v>958</v>
      </c>
    </row>
    <row r="915" spans="1:5" s="28" customFormat="1" ht="27.6" x14ac:dyDescent="0.3">
      <c r="A915" s="13" t="s">
        <v>250</v>
      </c>
      <c r="B915" s="14" t="str">
        <f>HYPERLINK("http://apps.fcc.gov/ecfs/document/view?id=7521088839","  (3 pages)")</f>
        <v xml:space="preserve">  (3 pages)</v>
      </c>
      <c r="C915" s="15" t="s">
        <v>855</v>
      </c>
      <c r="D915" s="16" t="s">
        <v>956</v>
      </c>
      <c r="E915" s="17" t="s">
        <v>942</v>
      </c>
    </row>
    <row r="916" spans="1:5" s="28" customFormat="1" ht="13.8" x14ac:dyDescent="0.3">
      <c r="A916" s="13" t="s">
        <v>249</v>
      </c>
      <c r="B916" s="14" t="str">
        <f>HYPERLINK("http://apps.fcc.gov/ecfs/document/view?id=7521088884","  (3 pages)")</f>
        <v xml:space="preserve">  (3 pages)</v>
      </c>
      <c r="C916" s="15" t="s">
        <v>855</v>
      </c>
      <c r="D916" s="16"/>
      <c r="E916" s="17" t="s">
        <v>944</v>
      </c>
    </row>
    <row r="917" spans="1:5" s="28" customFormat="1" ht="13.8" x14ac:dyDescent="0.3">
      <c r="A917" s="29" t="s">
        <v>577</v>
      </c>
      <c r="B917" s="24" t="str">
        <f>HYPERLINK("http://apps.fcc.gov/ecfs/document/view?id=7521089707","Expression of Interest (1 page)")</f>
        <v>Expression of Interest (1 page)</v>
      </c>
      <c r="C917" s="17" t="s">
        <v>862</v>
      </c>
      <c r="D917" s="26"/>
      <c r="E917" s="17" t="s">
        <v>926</v>
      </c>
    </row>
    <row r="918" spans="1:5" s="28" customFormat="1" ht="27.6" x14ac:dyDescent="0.3">
      <c r="A918" s="29" t="s">
        <v>576</v>
      </c>
      <c r="B918" s="24" t="str">
        <f>HYPERLINK("http://apps.fcc.gov/ecfs/document/view?id=7521089273","Expression of Interest in Rural Broadband Experiment (5 pages)")</f>
        <v>Expression of Interest in Rural Broadband Experiment (5 pages)</v>
      </c>
      <c r="C918" s="17" t="s">
        <v>857</v>
      </c>
      <c r="D918" s="26"/>
      <c r="E918" s="17" t="s">
        <v>973</v>
      </c>
    </row>
    <row r="919" spans="1:5" s="28" customFormat="1" ht="13.8" x14ac:dyDescent="0.3">
      <c r="A919" s="13" t="s">
        <v>10</v>
      </c>
      <c r="B919" s="14" t="str">
        <f>HYPERLINK("http://apps.fcc.gov/ecfs/document/view?id=7521089318","Expression of Interest (6 pages)")</f>
        <v>Expression of Interest (6 pages)</v>
      </c>
      <c r="C919" s="15" t="s">
        <v>856</v>
      </c>
      <c r="D919" s="16"/>
      <c r="E919" s="17" t="s">
        <v>2</v>
      </c>
    </row>
    <row r="920" spans="1:5" s="28" customFormat="1" ht="13.8" x14ac:dyDescent="0.3">
      <c r="A920" s="13" t="s">
        <v>9</v>
      </c>
      <c r="B920" s="14" t="str">
        <f>HYPERLINK("http://apps.fcc.gov/ecfs/document/view?id=7521089435","expression of interest (2 pages)")</f>
        <v>expression of interest (2 pages)</v>
      </c>
      <c r="C920" s="15" t="s">
        <v>854</v>
      </c>
      <c r="D920" s="16"/>
      <c r="E920" s="17" t="s">
        <v>928</v>
      </c>
    </row>
    <row r="921" spans="1:5" s="28" customFormat="1" ht="13.8" x14ac:dyDescent="0.3">
      <c r="A921" s="29" t="s">
        <v>575</v>
      </c>
      <c r="B921" s="24" t="str">
        <f>HYPERLINK("http://apps.fcc.gov/ecfs/document/view?id=7521089553","  (3 pages)")</f>
        <v xml:space="preserve">  (3 pages)</v>
      </c>
      <c r="C921" s="17" t="s">
        <v>855</v>
      </c>
      <c r="D921" s="26"/>
      <c r="E921" s="17"/>
    </row>
    <row r="922" spans="1:5" s="28" customFormat="1" ht="13.8" x14ac:dyDescent="0.3">
      <c r="A922" s="29" t="s">
        <v>574</v>
      </c>
      <c r="B922" s="24" t="str">
        <f>HYPERLINK("http://apps.fcc.gov/ecfs/document/view?id=7521089775","Expression of Interest (3 pages)")</f>
        <v>Expression of Interest (3 pages)</v>
      </c>
      <c r="C922" s="17" t="s">
        <v>855</v>
      </c>
      <c r="D922" s="26"/>
      <c r="E922" s="17" t="s">
        <v>979</v>
      </c>
    </row>
    <row r="923" spans="1:5" s="28" customFormat="1" ht="27.6" x14ac:dyDescent="0.3">
      <c r="A923" s="13" t="s">
        <v>142</v>
      </c>
      <c r="B923" s="14" t="str">
        <f>HYPERLINK("http://apps.fcc.gov/ecfs/document/view?id=7521089042","WC 10 90 UniTel Letter Of Interest (1 page)")</f>
        <v>WC 10 90 UniTel Letter Of Interest (1 page)</v>
      </c>
      <c r="C923" s="15" t="s">
        <v>862</v>
      </c>
      <c r="D923" s="16"/>
      <c r="E923" s="17" t="s">
        <v>969</v>
      </c>
    </row>
    <row r="924" spans="1:5" s="28" customFormat="1" ht="13.8" x14ac:dyDescent="0.3">
      <c r="A924" s="29" t="s">
        <v>578</v>
      </c>
      <c r="B924" s="24" t="str">
        <f>HYPERLINK("http://apps.fcc.gov/ecfs/document/view?id=7521089792","Rio Rico (3 pages)")</f>
        <v>Rio Rico (3 pages)</v>
      </c>
      <c r="C924" s="17" t="s">
        <v>855</v>
      </c>
      <c r="D924" s="26"/>
      <c r="E924" s="17" t="s">
        <v>1010</v>
      </c>
    </row>
    <row r="925" spans="1:5" s="28" customFormat="1" ht="13.8" x14ac:dyDescent="0.3">
      <c r="A925" s="29" t="s">
        <v>578</v>
      </c>
      <c r="B925" s="24" t="str">
        <f>HYPERLINK("http://apps.fcc.gov/ecfs/document/view?id=7521089790","Tubac AZ (3 pages)")</f>
        <v>Tubac AZ (3 pages)</v>
      </c>
      <c r="C925" s="17" t="s">
        <v>855</v>
      </c>
      <c r="D925" s="26"/>
      <c r="E925" s="17" t="s">
        <v>1010</v>
      </c>
    </row>
    <row r="926" spans="1:5" s="28" customFormat="1" ht="13.8" x14ac:dyDescent="0.3">
      <c r="A926" s="29" t="s">
        <v>578</v>
      </c>
      <c r="B926" s="24" t="str">
        <f>HYPERLINK("http://apps.fcc.gov/ecfs/document/view?id=7521089787","Green Valley AZ (3 pages)")</f>
        <v>Green Valley AZ (3 pages)</v>
      </c>
      <c r="C926" s="17" t="s">
        <v>855</v>
      </c>
      <c r="D926" s="26"/>
      <c r="E926" s="17" t="s">
        <v>1010</v>
      </c>
    </row>
    <row r="927" spans="1:5" s="28" customFormat="1" ht="13.8" x14ac:dyDescent="0.3">
      <c r="A927" s="29" t="s">
        <v>578</v>
      </c>
      <c r="B927" s="24" t="str">
        <f>HYPERLINK("http://apps.fcc.gov/ecfs/document/view?id=7521089782","Sahuarita AZ (3 pages)")</f>
        <v>Sahuarita AZ (3 pages)</v>
      </c>
      <c r="C927" s="17" t="s">
        <v>855</v>
      </c>
      <c r="D927" s="26"/>
      <c r="E927" s="17" t="s">
        <v>1010</v>
      </c>
    </row>
    <row r="928" spans="1:5" s="28" customFormat="1" ht="13.8" x14ac:dyDescent="0.3">
      <c r="A928" s="29" t="s">
        <v>578</v>
      </c>
      <c r="B928" s="24" t="str">
        <f>HYPERLINK("http://apps.fcc.gov/ecfs/document/view?id=7521089774","Nogales AZ (3 pages)")</f>
        <v>Nogales AZ (3 pages)</v>
      </c>
      <c r="C928" s="17" t="s">
        <v>855</v>
      </c>
      <c r="D928" s="26"/>
      <c r="E928" s="17" t="s">
        <v>1010</v>
      </c>
    </row>
    <row r="929" spans="1:5" s="28" customFormat="1" ht="13.8" x14ac:dyDescent="0.3">
      <c r="A929" s="29" t="s">
        <v>578</v>
      </c>
      <c r="B929" s="24" t="str">
        <f>HYPERLINK("http://apps.fcc.gov/ecfs/document/view?id=7521089770","Lake Havasu City AZ (3 pages)")</f>
        <v>Lake Havasu City AZ (3 pages)</v>
      </c>
      <c r="C929" s="17" t="s">
        <v>855</v>
      </c>
      <c r="D929" s="26"/>
      <c r="E929" s="17" t="s">
        <v>1010</v>
      </c>
    </row>
    <row r="930" spans="1:5" s="28" customFormat="1" ht="13.8" x14ac:dyDescent="0.3">
      <c r="A930" s="29" t="s">
        <v>578</v>
      </c>
      <c r="B930" s="24" t="str">
        <f>HYPERLINK("http://apps.fcc.gov/ecfs/document/view?id=7521089757","Kingman AZ (3 pages)")</f>
        <v>Kingman AZ (3 pages)</v>
      </c>
      <c r="C930" s="17" t="s">
        <v>855</v>
      </c>
      <c r="D930" s="26"/>
      <c r="E930" s="17" t="s">
        <v>1010</v>
      </c>
    </row>
    <row r="931" spans="1:5" s="28" customFormat="1" ht="13.8" x14ac:dyDescent="0.3">
      <c r="A931" s="29" t="s">
        <v>578</v>
      </c>
      <c r="B931" s="24" t="str">
        <f>HYPERLINK("http://apps.fcc.gov/ecfs/document/view?id=7521089753","Prescott AZ (3 pages)")</f>
        <v>Prescott AZ (3 pages)</v>
      </c>
      <c r="C931" s="17" t="s">
        <v>855</v>
      </c>
      <c r="D931" s="26"/>
      <c r="E931" s="17" t="s">
        <v>1010</v>
      </c>
    </row>
    <row r="932" spans="1:5" s="28" customFormat="1" ht="27.6" x14ac:dyDescent="0.3">
      <c r="A932" s="29" t="s">
        <v>573</v>
      </c>
      <c r="B932" s="24" t="str">
        <f>HYPERLINK("http://apps.fcc.gov/ecfs/document/view?id=7521089631","Expression of Interest and Supporting Documentation (9 pages)")</f>
        <v>Expression of Interest and Supporting Documentation (9 pages)</v>
      </c>
      <c r="C932" s="17" t="s">
        <v>860</v>
      </c>
      <c r="D932" s="26"/>
      <c r="E932" s="17" t="s">
        <v>972</v>
      </c>
    </row>
    <row r="933" spans="1:5" s="28" customFormat="1" ht="27.6" x14ac:dyDescent="0.3">
      <c r="A933" s="29" t="s">
        <v>572</v>
      </c>
      <c r="B933" s="24" t="str">
        <f>HYPERLINK("http://apps.fcc.gov/ecfs/document/view?id=7521089809","  (9 pages)")</f>
        <v xml:space="preserve">  (9 pages)</v>
      </c>
      <c r="C933" s="17" t="s">
        <v>860</v>
      </c>
      <c r="D933" s="26"/>
      <c r="E933" s="17" t="s">
        <v>972</v>
      </c>
    </row>
    <row r="934" spans="1:5" s="28" customFormat="1" ht="13.8" x14ac:dyDescent="0.3">
      <c r="A934" s="29" t="s">
        <v>571</v>
      </c>
      <c r="B934" s="24" t="str">
        <f>HYPERLINK("http://apps.fcc.gov/ecfs/document/view?id=7521089906","Letter of Interest (2 pages)")</f>
        <v>Letter of Interest (2 pages)</v>
      </c>
      <c r="C934" s="17" t="s">
        <v>855</v>
      </c>
      <c r="D934" s="26" t="s">
        <v>1125</v>
      </c>
      <c r="E934" s="17" t="s">
        <v>962</v>
      </c>
    </row>
    <row r="935" spans="1:5" s="28" customFormat="1" ht="13.8" x14ac:dyDescent="0.3">
      <c r="A935" s="29" t="s">
        <v>1015</v>
      </c>
      <c r="B935" s="24" t="str">
        <f>HYPERLINK("http://apps.fcc.gov/ecfs/document/view?id=7521092090","  (3 pages)")</f>
        <v xml:space="preserve">  (3 pages)</v>
      </c>
      <c r="C935" s="30" t="s">
        <v>855</v>
      </c>
      <c r="D935" s="26"/>
      <c r="E935" s="17" t="s">
        <v>1020</v>
      </c>
    </row>
    <row r="936" spans="1:5" s="28" customFormat="1" ht="13.8" x14ac:dyDescent="0.3">
      <c r="A936" s="29" t="s">
        <v>570</v>
      </c>
      <c r="B936" s="24" t="str">
        <f>HYPERLINK("http://apps.fcc.gov/ecfs/document/view?id=7521089909","Expression of Interest (3 pages)")</f>
        <v>Expression of Interest (3 pages)</v>
      </c>
      <c r="C936" s="17" t="s">
        <v>855</v>
      </c>
      <c r="D936" s="26"/>
      <c r="E936" s="17" t="s">
        <v>1057</v>
      </c>
    </row>
    <row r="937" spans="1:5" s="28" customFormat="1" ht="13.8" x14ac:dyDescent="0.3">
      <c r="A937" s="13" t="s">
        <v>140</v>
      </c>
      <c r="B937" s="14" t="str">
        <f>HYPERLINK("http://apps.fcc.gov/ecfs/document/view?id=7521089161","  (11 pages)")</f>
        <v xml:space="preserve">  (11 pages)</v>
      </c>
      <c r="C937" s="15" t="s">
        <v>869</v>
      </c>
      <c r="D937" s="16" t="s">
        <v>1052</v>
      </c>
      <c r="E937" s="17" t="s">
        <v>961</v>
      </c>
    </row>
    <row r="938" spans="1:5" s="28" customFormat="1" ht="13.8" x14ac:dyDescent="0.3">
      <c r="A938" s="13" t="s">
        <v>537</v>
      </c>
      <c r="B938" s="14" t="str">
        <f>HYPERLINK("http://apps.fcc.gov/ecfs/document/view?id=7521083070","Expression of Interest (1 page)")</f>
        <v>Expression of Interest (1 page)</v>
      </c>
      <c r="C938" s="15" t="s">
        <v>862</v>
      </c>
      <c r="D938" s="16"/>
      <c r="E938" s="17" t="s">
        <v>929</v>
      </c>
    </row>
    <row r="939" spans="1:5" s="28" customFormat="1" ht="13.8" x14ac:dyDescent="0.3">
      <c r="A939" s="13" t="s">
        <v>533</v>
      </c>
      <c r="B939" s="14" t="str">
        <f>HYPERLINK("http://apps.fcc.gov/ecfs/document/view?id=7521084015","  (2 pages)")</f>
        <v xml:space="preserve">  (2 pages)</v>
      </c>
      <c r="C939" s="15" t="s">
        <v>854</v>
      </c>
      <c r="D939" s="16"/>
      <c r="E939" s="17" t="s">
        <v>1057</v>
      </c>
    </row>
    <row r="940" spans="1:5" s="28" customFormat="1" ht="27.6" x14ac:dyDescent="0.3">
      <c r="A940" s="29" t="s">
        <v>569</v>
      </c>
      <c r="B940" s="24" t="str">
        <f>HYPERLINK("http://apps.fcc.gov/ecfs/document/view?id=7521089928","Rural Broadband Experiment Expression of Interest (1 page)")</f>
        <v>Rural Broadband Experiment Expression of Interest (1 page)</v>
      </c>
      <c r="C940" s="17" t="s">
        <v>862</v>
      </c>
      <c r="D940" s="26"/>
      <c r="E940" s="17" t="s">
        <v>943</v>
      </c>
    </row>
    <row r="941" spans="1:5" s="28" customFormat="1" ht="31.8" customHeight="1" x14ac:dyDescent="0.3">
      <c r="A941" s="13" t="s">
        <v>414</v>
      </c>
      <c r="B941" s="14" t="str">
        <f>HYPERLINK("http://apps.fcc.gov/ecfs/document/view?id=7521088607","IP Experiment Expression of Interest Vernon Communications LLC (2 pages)")</f>
        <v>IP Experiment Expression of Interest Vernon Communications LLC (2 pages)</v>
      </c>
      <c r="C941" s="15" t="s">
        <v>854</v>
      </c>
      <c r="D941" s="16"/>
      <c r="E941" s="17" t="s">
        <v>963</v>
      </c>
    </row>
    <row r="942" spans="1:5" s="28" customFormat="1" ht="13.8" x14ac:dyDescent="0.3">
      <c r="A942" s="29" t="s">
        <v>568</v>
      </c>
      <c r="B942" s="24" t="str">
        <f>HYPERLINK("http://apps.fcc.gov/ecfs/document/view?id=7521089828","Expression of Interest (7 pages)")</f>
        <v>Expression of Interest (7 pages)</v>
      </c>
      <c r="C942" s="17" t="s">
        <v>866</v>
      </c>
      <c r="D942" s="26"/>
      <c r="E942" s="17" t="s">
        <v>1124</v>
      </c>
    </row>
    <row r="943" spans="1:5" s="28" customFormat="1" ht="27.6" x14ac:dyDescent="0.3">
      <c r="A943" s="29" t="s">
        <v>567</v>
      </c>
      <c r="B943" s="24" t="str">
        <f>HYPERLINK("http://apps.fcc.gov/ecfs/document/view?id=7521089702","IP Experiment Expression of Interest Video Direct (3 pages)")</f>
        <v>IP Experiment Expression of Interest Video Direct (3 pages)</v>
      </c>
      <c r="C943" s="17" t="s">
        <v>855</v>
      </c>
      <c r="D943" s="26"/>
      <c r="E943" s="17" t="s">
        <v>2</v>
      </c>
    </row>
    <row r="944" spans="1:5" s="28" customFormat="1" ht="13.8" x14ac:dyDescent="0.3">
      <c r="A944" s="29" t="s">
        <v>911</v>
      </c>
      <c r="B944" s="24" t="str">
        <f>HYPERLINK("http://apps.fcc.gov/ecfs/document/view?id=7521090114","  (3 pages)")</f>
        <v xml:space="preserve">  (3 pages)</v>
      </c>
      <c r="C944" s="30" t="s">
        <v>855</v>
      </c>
      <c r="D944" s="26"/>
      <c r="E944" s="17" t="s">
        <v>1191</v>
      </c>
    </row>
    <row r="945" spans="1:5" s="28" customFormat="1" ht="13.8" x14ac:dyDescent="0.3">
      <c r="A945" s="29" t="s">
        <v>566</v>
      </c>
      <c r="B945" s="24" t="str">
        <f>HYPERLINK("http://apps.fcc.gov/ecfs/document/view?id=7521089605","CAF Docket 10 90 (6 pages)")</f>
        <v>CAF Docket 10 90 (6 pages)</v>
      </c>
      <c r="C945" s="17" t="s">
        <v>856</v>
      </c>
      <c r="D945" s="26"/>
      <c r="E945" s="17" t="s">
        <v>924</v>
      </c>
    </row>
    <row r="946" spans="1:5" s="28" customFormat="1" ht="27.6" x14ac:dyDescent="0.3">
      <c r="A946" s="13" t="s">
        <v>413</v>
      </c>
      <c r="B946" s="14" t="str">
        <f>HYPERLINK("http://apps.fcc.gov/ecfs/document/view?id=7521088597","EOI for Rural Broadband Experiment (36 pages)")</f>
        <v>EOI for Rural Broadband Experiment (36 pages)</v>
      </c>
      <c r="C946" s="15" t="s">
        <v>879</v>
      </c>
      <c r="D946" s="16"/>
      <c r="E946" s="17" t="s">
        <v>973</v>
      </c>
    </row>
    <row r="947" spans="1:5" s="28" customFormat="1" ht="13.8" x14ac:dyDescent="0.3">
      <c r="A947" s="13" t="s">
        <v>141</v>
      </c>
      <c r="B947" s="14" t="str">
        <f>HYPERLINK("http://apps.fcc.gov/ecfs/document/view?id=7521089022","Expression of Interest (2 pages)")</f>
        <v>Expression of Interest (2 pages)</v>
      </c>
      <c r="C947" s="15" t="s">
        <v>854</v>
      </c>
      <c r="D947" s="16"/>
      <c r="E947" s="17" t="s">
        <v>926</v>
      </c>
    </row>
    <row r="948" spans="1:5" s="28" customFormat="1" ht="13.8" x14ac:dyDescent="0.3">
      <c r="A948" s="13" t="s">
        <v>470</v>
      </c>
      <c r="B948" s="14" t="str">
        <f>HYPERLINK("http://apps.fcc.gov/ecfs/document/view?id=7521088149","  (2 pages)")</f>
        <v xml:space="preserve">  (2 pages)</v>
      </c>
      <c r="C948" s="15" t="s">
        <v>854</v>
      </c>
      <c r="D948" s="16"/>
      <c r="E948" s="17" t="s">
        <v>926</v>
      </c>
    </row>
    <row r="949" spans="1:5" s="28" customFormat="1" ht="13.8" x14ac:dyDescent="0.3">
      <c r="A949" s="13" t="s">
        <v>339</v>
      </c>
      <c r="B949" s="14" t="str">
        <f>HYPERLINK("http://apps.fcc.gov/ecfs/document/view?id=7521088608","  (2 pages)")</f>
        <v xml:space="preserve">  (2 pages)</v>
      </c>
      <c r="C949" s="15" t="s">
        <v>854</v>
      </c>
      <c r="D949" s="16"/>
      <c r="E949" s="17" t="s">
        <v>931</v>
      </c>
    </row>
    <row r="950" spans="1:5" s="28" customFormat="1" ht="13.8" x14ac:dyDescent="0.3">
      <c r="A950" s="13" t="s">
        <v>338</v>
      </c>
      <c r="B950" s="14" t="str">
        <f>HYPERLINK("http://apps.fcc.gov/ecfs/document/view?id=7521088712","Expression of Interest (2 pages)")</f>
        <v>Expression of Interest (2 pages)</v>
      </c>
      <c r="C950" s="15" t="s">
        <v>859</v>
      </c>
      <c r="D950" s="16"/>
      <c r="E950" s="17" t="s">
        <v>1073</v>
      </c>
    </row>
    <row r="951" spans="1:5" s="28" customFormat="1" ht="27.6" x14ac:dyDescent="0.3">
      <c r="A951" s="29" t="s">
        <v>563</v>
      </c>
      <c r="B951" s="24" t="str">
        <f>HYPERLINK("http://apps.fcc.gov/ecfs/document/view?id=7521089728","Letter of Interest (2 pages)")</f>
        <v>Letter of Interest (2 pages)</v>
      </c>
      <c r="C951" s="17" t="s">
        <v>854</v>
      </c>
      <c r="D951" s="26"/>
      <c r="E951" s="17" t="s">
        <v>1079</v>
      </c>
    </row>
    <row r="952" spans="1:5" s="28" customFormat="1" ht="13.8" x14ac:dyDescent="0.3">
      <c r="A952" s="13" t="s">
        <v>138</v>
      </c>
      <c r="B952" s="14" t="str">
        <f>HYPERLINK("http://apps.fcc.gov/ecfs/document/view?id=7521088985","Expression of Interest (2 pages)")</f>
        <v>Expression of Interest (2 pages)</v>
      </c>
      <c r="C952" s="15" t="s">
        <v>854</v>
      </c>
      <c r="D952" s="16"/>
      <c r="E952" s="17" t="s">
        <v>943</v>
      </c>
    </row>
    <row r="953" spans="1:5" s="28" customFormat="1" ht="13.8" x14ac:dyDescent="0.3">
      <c r="A953" s="13" t="s">
        <v>248</v>
      </c>
      <c r="B953" s="14" t="str">
        <f>HYPERLINK("http://apps.fcc.gov/ecfs/document/view?id=7521088886","10 90 Letter of Interest (2 pages)")</f>
        <v>10 90 Letter of Interest (2 pages)</v>
      </c>
      <c r="C953" s="15" t="s">
        <v>854</v>
      </c>
      <c r="D953" s="16"/>
      <c r="E953" s="17" t="s">
        <v>944</v>
      </c>
    </row>
    <row r="954" spans="1:5" s="28" customFormat="1" ht="13.8" x14ac:dyDescent="0.3">
      <c r="A954" s="13" t="s">
        <v>469</v>
      </c>
      <c r="B954" s="14" t="str">
        <f>HYPERLINK("http://apps.fcc.gov/ecfs/document/view?id=7521088128","Expression of Interest Letter (2 pages)")</f>
        <v>Expression of Interest Letter (2 pages)</v>
      </c>
      <c r="C954" s="15" t="s">
        <v>854</v>
      </c>
      <c r="D954" s="16"/>
      <c r="E954" s="17" t="s">
        <v>935</v>
      </c>
    </row>
    <row r="955" spans="1:5" s="28" customFormat="1" ht="41.4" x14ac:dyDescent="0.3">
      <c r="A955" s="29" t="s">
        <v>562</v>
      </c>
      <c r="B955" s="24" t="str">
        <f>HYPERLINK("http://apps.fcc.gov/ecfs/document/view?id=7521089544","Walton County Economic Development Alliance Expression of Interest for Rural Bro (4 pages)")</f>
        <v>Walton County Economic Development Alliance Expression of Interest for Rural Bro (4 pages)</v>
      </c>
      <c r="C955" s="17" t="s">
        <v>859</v>
      </c>
      <c r="D955" s="26"/>
      <c r="E955" s="17" t="s">
        <v>1084</v>
      </c>
    </row>
    <row r="956" spans="1:5" s="28" customFormat="1" ht="13.8" x14ac:dyDescent="0.3">
      <c r="A956" s="13" t="s">
        <v>137</v>
      </c>
      <c r="B956" s="14" t="str">
        <f>HYPERLINK("http://apps.fcc.gov/ecfs/document/view?id=7521089215","WST Expression of Interest (5 pages)")</f>
        <v>WST Expression of Interest (5 pages)</v>
      </c>
      <c r="C956" s="15" t="s">
        <v>857</v>
      </c>
      <c r="D956" s="16"/>
      <c r="E956" s="17" t="s">
        <v>944</v>
      </c>
    </row>
    <row r="957" spans="1:5" s="28" customFormat="1" ht="27.6" x14ac:dyDescent="0.3">
      <c r="A957" s="29" t="s">
        <v>561</v>
      </c>
      <c r="B957" s="31" t="str">
        <f>HYPERLINK("http://apps.fcc.gov/ecfs/document/view?id=7521089659","Expression of Interest (2 pages)")</f>
        <v>Expression of Interest (2 pages)</v>
      </c>
      <c r="C957" s="17" t="s">
        <v>854</v>
      </c>
      <c r="D957" s="26"/>
      <c r="E957" s="17" t="s">
        <v>967</v>
      </c>
    </row>
    <row r="958" spans="1:5" s="28" customFormat="1" ht="13.8" x14ac:dyDescent="0.3">
      <c r="A958" s="13" t="s">
        <v>8</v>
      </c>
      <c r="B958" s="14" t="str">
        <f>HYPERLINK("http://apps.fcc.gov/ecfs/document/view?id=7521089454","Expression of Interest (3 pages)")</f>
        <v>Expression of Interest (3 pages)</v>
      </c>
      <c r="C958" s="15" t="s">
        <v>855</v>
      </c>
      <c r="D958" s="16"/>
      <c r="E958" s="17" t="s">
        <v>927</v>
      </c>
    </row>
    <row r="959" spans="1:5" s="28" customFormat="1" ht="13.8" x14ac:dyDescent="0.3">
      <c r="A959" s="13" t="s">
        <v>247</v>
      </c>
      <c r="B959" s="14" t="str">
        <f>HYPERLINK("http://apps.fcc.gov/ecfs/document/view?id=7521088873","Expression of Interest (3 pages)")</f>
        <v>Expression of Interest (3 pages)</v>
      </c>
      <c r="C959" s="15" t="s">
        <v>855</v>
      </c>
      <c r="D959" s="16"/>
      <c r="E959" s="17" t="s">
        <v>931</v>
      </c>
    </row>
    <row r="960" spans="1:5" s="28" customFormat="1" ht="13.8" x14ac:dyDescent="0.3">
      <c r="A960" s="13" t="s">
        <v>246</v>
      </c>
      <c r="B960" s="14" t="str">
        <f>HYPERLINK("http://apps.fcc.gov/ecfs/document/view?id=7521088925","Expression of Interest (3 pages)")</f>
        <v>Expression of Interest (3 pages)</v>
      </c>
      <c r="C960" s="15" t="s">
        <v>855</v>
      </c>
      <c r="D960" s="16"/>
      <c r="E960" s="17" t="s">
        <v>932</v>
      </c>
    </row>
    <row r="961" spans="1:5" s="28" customFormat="1" ht="27.6" x14ac:dyDescent="0.3">
      <c r="A961" s="13" t="s">
        <v>245</v>
      </c>
      <c r="B961" s="14" t="str">
        <f>HYPERLINK("http://apps.fcc.gov/ecfs/document/view?id=7521088772","WCRTC EOI Rural CAF Experiment (3 pages)")</f>
        <v>WCRTC EOI Rural CAF Experiment (3 pages)</v>
      </c>
      <c r="C961" s="15" t="s">
        <v>855</v>
      </c>
      <c r="D961" s="16"/>
      <c r="E961" s="17" t="s">
        <v>971</v>
      </c>
    </row>
    <row r="962" spans="1:5" s="28" customFormat="1" ht="13.8" x14ac:dyDescent="0.3">
      <c r="A962" s="29" t="s">
        <v>560</v>
      </c>
      <c r="B962" s="24" t="str">
        <f>HYPERLINK("http://apps.fcc.gov/ecfs/document/view?id=7521089798","  (3 pages)")</f>
        <v xml:space="preserve">  (3 pages)</v>
      </c>
      <c r="C962" s="17" t="s">
        <v>855</v>
      </c>
      <c r="D962" s="26"/>
      <c r="E962" s="17"/>
    </row>
    <row r="963" spans="1:5" s="28" customFormat="1" ht="13.8" x14ac:dyDescent="0.3">
      <c r="A963" s="13" t="s">
        <v>337</v>
      </c>
      <c r="B963" s="14" t="str">
        <f>HYPERLINK("http://apps.fcc.gov/ecfs/document/view?id=7521088707","  (2 pages)")</f>
        <v xml:space="preserve">  (2 pages)</v>
      </c>
      <c r="C963" s="15" t="s">
        <v>854</v>
      </c>
      <c r="D963" s="16"/>
      <c r="E963" s="17" t="s">
        <v>925</v>
      </c>
    </row>
    <row r="964" spans="1:5" s="28" customFormat="1" ht="13.8" x14ac:dyDescent="0.3">
      <c r="A964" s="13" t="s">
        <v>244</v>
      </c>
      <c r="B964" s="14" t="str">
        <f>HYPERLINK("http://apps.fcc.gov/ecfs/document/view?id=7521088787","Letter WaterfordVA (2 pages)")</f>
        <v>Letter WaterfordVA (2 pages)</v>
      </c>
      <c r="C964" s="15" t="s">
        <v>854</v>
      </c>
      <c r="D964" s="16"/>
      <c r="E964" s="17" t="s">
        <v>970</v>
      </c>
    </row>
    <row r="965" spans="1:5" s="28" customFormat="1" ht="13.8" x14ac:dyDescent="0.3">
      <c r="A965" s="13" t="s">
        <v>419</v>
      </c>
      <c r="B965" s="14" t="str">
        <f>HYPERLINK("http://apps.fcc.gov/ecfs/document/view?id=7521088409","Broadband Experiments EOI (3 pages)")</f>
        <v>Broadband Experiments EOI (3 pages)</v>
      </c>
      <c r="C965" s="15" t="s">
        <v>855</v>
      </c>
      <c r="D965" s="16"/>
      <c r="E965" s="17" t="s">
        <v>964</v>
      </c>
    </row>
    <row r="966" spans="1:5" s="28" customFormat="1" ht="27.6" x14ac:dyDescent="0.3">
      <c r="A966" s="29" t="s">
        <v>559</v>
      </c>
      <c r="B966" s="24" t="str">
        <f>HYPERLINK("http://apps.fcc.gov/ecfs/document/view?id=7521089513","County ID 22125 Expression of Interest 10 90  (2 pages)")</f>
        <v>County ID 22125 Expression of Interest 10 90  (2 pages)</v>
      </c>
      <c r="C966" s="17" t="s">
        <v>854</v>
      </c>
      <c r="D966" s="26"/>
      <c r="E966" s="17" t="s">
        <v>967</v>
      </c>
    </row>
    <row r="967" spans="1:5" s="28" customFormat="1" ht="13.8" x14ac:dyDescent="0.3">
      <c r="A967" s="13" t="s">
        <v>336</v>
      </c>
      <c r="B967" s="14" t="str">
        <f>HYPERLINK("http://apps.fcc.gov/ecfs/document/view?id=7521088674","Expression of Interest Letter (2 pages)")</f>
        <v>Expression of Interest Letter (2 pages)</v>
      </c>
      <c r="C967" s="15" t="s">
        <v>854</v>
      </c>
      <c r="D967" s="16"/>
      <c r="E967" s="17" t="s">
        <v>1001</v>
      </c>
    </row>
    <row r="968" spans="1:5" s="28" customFormat="1" ht="13.8" x14ac:dyDescent="0.3">
      <c r="A968" s="13" t="s">
        <v>336</v>
      </c>
      <c r="B968" s="14" t="str">
        <f>HYPERLINK("http://apps.fcc.gov/ecfs/document/view?id=7521087984","  (6 pages)")</f>
        <v xml:space="preserve">  (6 pages)</v>
      </c>
      <c r="C968" s="15" t="s">
        <v>856</v>
      </c>
      <c r="D968" s="16"/>
      <c r="E968" s="17"/>
    </row>
    <row r="969" spans="1:5" s="28" customFormat="1" ht="13.8" x14ac:dyDescent="0.3">
      <c r="A969" s="13" t="s">
        <v>335</v>
      </c>
      <c r="B969" s="14" t="str">
        <f>HYPERLINK("http://apps.fcc.gov/ecfs/document/view?id=7521088628","Expression of Interest (2 pages)")</f>
        <v>Expression of Interest (2 pages)</v>
      </c>
      <c r="C969" s="15" t="s">
        <v>854</v>
      </c>
      <c r="D969" s="16"/>
      <c r="E969" s="17" t="s">
        <v>936</v>
      </c>
    </row>
    <row r="970" spans="1:5" s="28" customFormat="1" ht="13.8" x14ac:dyDescent="0.3">
      <c r="A970" s="13" t="s">
        <v>468</v>
      </c>
      <c r="B970" s="14" t="str">
        <f>HYPERLINK("http://apps.fcc.gov/ecfs/document/view?id=7521088150","  (2 pages)")</f>
        <v xml:space="preserve">  (2 pages)</v>
      </c>
      <c r="C970" s="15" t="s">
        <v>854</v>
      </c>
      <c r="D970" s="16"/>
      <c r="E970" s="17" t="s">
        <v>926</v>
      </c>
    </row>
    <row r="971" spans="1:5" s="28" customFormat="1" ht="27.6" x14ac:dyDescent="0.3">
      <c r="A971" s="29" t="s">
        <v>558</v>
      </c>
      <c r="B971" s="24" t="str">
        <f>HYPERLINK("http://apps.fcc.gov/ecfs/document/view?id=7521089758","Expression of Interest Western New Mexico Telephone Company (3 pages)")</f>
        <v>Expression of Interest Western New Mexico Telephone Company (3 pages)</v>
      </c>
      <c r="C971" s="17" t="s">
        <v>869</v>
      </c>
      <c r="D971" s="26"/>
      <c r="E971" s="17" t="s">
        <v>988</v>
      </c>
    </row>
    <row r="972" spans="1:5" s="28" customFormat="1" ht="13.8" x14ac:dyDescent="0.3">
      <c r="A972" s="13" t="s">
        <v>7</v>
      </c>
      <c r="B972" s="14" t="str">
        <f>HYPERLINK("http://apps.fcc.gov/ecfs/document/view?id=7521089320","Expression of Interest (2 pages)")</f>
        <v>Expression of Interest (2 pages)</v>
      </c>
      <c r="C972" s="15" t="s">
        <v>854</v>
      </c>
      <c r="D972" s="16"/>
      <c r="E972" s="17" t="s">
        <v>926</v>
      </c>
    </row>
    <row r="973" spans="1:5" s="28" customFormat="1" ht="27.6" x14ac:dyDescent="0.3">
      <c r="A973" s="13" t="s">
        <v>136</v>
      </c>
      <c r="B973" s="14" t="str">
        <f>HYPERLINK("http://apps.fcc.gov/ecfs/document/view?id=7521089169","Rural BBand Experiment Letter of Interest (2 pages)")</f>
        <v>Rural BBand Experiment Letter of Interest (2 pages)</v>
      </c>
      <c r="C973" s="15" t="s">
        <v>854</v>
      </c>
      <c r="D973" s="16"/>
      <c r="E973" s="17" t="s">
        <v>943</v>
      </c>
    </row>
    <row r="974" spans="1:5" s="28" customFormat="1" ht="13.8" x14ac:dyDescent="0.3">
      <c r="A974" s="29" t="s">
        <v>898</v>
      </c>
      <c r="B974" s="24" t="str">
        <f>HYPERLINK("http://apps.fcc.gov/ecfs/document/view?id=7521091467","  (2 pages)")</f>
        <v xml:space="preserve">  (2 pages)</v>
      </c>
      <c r="C974" s="30" t="s">
        <v>854</v>
      </c>
      <c r="D974" s="26"/>
      <c r="E974" s="17" t="s">
        <v>965</v>
      </c>
    </row>
    <row r="975" spans="1:5" s="28" customFormat="1" ht="41.4" x14ac:dyDescent="0.3">
      <c r="A975" s="29" t="s">
        <v>892</v>
      </c>
      <c r="B975" s="24" t="str">
        <f>HYPERLINK("http://apps.fcc.gov/ecfs/document/view?id=7521091524","Wilkes Communications Inc Expression of Interest Letter Price Cap area (3 pages)")</f>
        <v>Wilkes Communications Inc Expression of Interest Letter Price Cap area (3 pages)</v>
      </c>
      <c r="C975" s="30" t="s">
        <v>855</v>
      </c>
      <c r="D975" s="26"/>
      <c r="E975" s="17" t="s">
        <v>924</v>
      </c>
    </row>
    <row r="976" spans="1:5" s="28" customFormat="1" ht="27.6" x14ac:dyDescent="0.3">
      <c r="A976" s="13" t="s">
        <v>6</v>
      </c>
      <c r="B976" s="14" t="str">
        <f>HYPERLINK("http://apps.fcc.gov/ecfs/document/view?id=7521089438","Wilkes Ga RoR Expression of Interest (2 pages)")</f>
        <v>Wilkes Ga RoR Expression of Interest (2 pages)</v>
      </c>
      <c r="C976" s="15" t="s">
        <v>854</v>
      </c>
      <c r="D976" s="16"/>
      <c r="E976" s="17" t="s">
        <v>925</v>
      </c>
    </row>
    <row r="977" spans="1:5" s="28" customFormat="1" ht="41.4" x14ac:dyDescent="0.3">
      <c r="A977" s="13" t="s">
        <v>5</v>
      </c>
      <c r="B977" s="14" t="str">
        <f>HYPERLINK("http://apps.fcc.gov/ecfs/document/view?id=7521089472","Wilkes Telephone Membership Corporation Price Cap Expression of Interest Letter  (2 pages)")</f>
        <v>Wilkes Telephone Membership Corporation Price Cap Expression of Interest Letter  (2 pages)</v>
      </c>
      <c r="C977" s="15" t="s">
        <v>854</v>
      </c>
      <c r="D977" s="16"/>
      <c r="E977" s="17" t="s">
        <v>924</v>
      </c>
    </row>
    <row r="978" spans="1:5" s="28" customFormat="1" ht="41.4" x14ac:dyDescent="0.3">
      <c r="A978" s="29" t="s">
        <v>5</v>
      </c>
      <c r="B978" s="24" t="str">
        <f>HYPERLINK("http://apps.fcc.gov/ecfs/document/view?id=7521089485","wilkes Telephone Membership Corporation Price Cap Expression of Interest Letter  (2 pages)")</f>
        <v>wilkes Telephone Membership Corporation Price Cap Expression of Interest Letter  (2 pages)</v>
      </c>
      <c r="C978" s="17" t="s">
        <v>854</v>
      </c>
      <c r="D978" s="26"/>
      <c r="E978" s="17" t="s">
        <v>924</v>
      </c>
    </row>
    <row r="979" spans="1:5" s="28" customFormat="1" ht="13.8" x14ac:dyDescent="0.3">
      <c r="A979" s="29" t="s">
        <v>557</v>
      </c>
      <c r="B979" s="24" t="str">
        <f>HYPERLINK("http://apps.fcc.gov/ecfs/document/view?id=7521089617","  (4 pages)")</f>
        <v xml:space="preserve">  (4 pages)</v>
      </c>
      <c r="C979" s="17" t="s">
        <v>859</v>
      </c>
      <c r="D979" s="26" t="s">
        <v>1121</v>
      </c>
      <c r="E979" s="17"/>
    </row>
    <row r="980" spans="1:5" s="28" customFormat="1" ht="13.8" x14ac:dyDescent="0.3">
      <c r="A980" s="29" t="s">
        <v>565</v>
      </c>
      <c r="B980" s="24" t="str">
        <f>HYPERLINK("http://apps.fcc.gov/ecfs/document/view?id=7521089508","  (2 pages)")</f>
        <v xml:space="preserve">  (2 pages)</v>
      </c>
      <c r="C980" s="17" t="s">
        <v>854</v>
      </c>
      <c r="D980" s="26"/>
      <c r="E980" s="17" t="s">
        <v>931</v>
      </c>
    </row>
    <row r="981" spans="1:5" s="28" customFormat="1" ht="13.8" x14ac:dyDescent="0.3">
      <c r="A981" s="13" t="s">
        <v>467</v>
      </c>
      <c r="B981" s="14" t="str">
        <f>HYPERLINK("http://apps.fcc.gov/ecfs/document/view?id=7521087770","  (2 pages)")</f>
        <v xml:space="preserve">  (2 pages)</v>
      </c>
      <c r="C981" s="15" t="s">
        <v>854</v>
      </c>
      <c r="D981" s="16"/>
      <c r="E981" s="17" t="s">
        <v>935</v>
      </c>
    </row>
    <row r="982" spans="1:5" s="28" customFormat="1" ht="13.8" x14ac:dyDescent="0.3">
      <c r="A982" s="29" t="s">
        <v>910</v>
      </c>
      <c r="B982" s="24" t="str">
        <f>HYPERLINK("http://apps.fcc.gov/ecfs/document/view?id=7521090006","Expression of Interest Letter (2 pages)")</f>
        <v>Expression of Interest Letter (2 pages)</v>
      </c>
      <c r="C982" s="30" t="s">
        <v>854</v>
      </c>
      <c r="D982" s="26"/>
      <c r="E982" s="17" t="s">
        <v>964</v>
      </c>
    </row>
    <row r="983" spans="1:5" s="28" customFormat="1" ht="27.6" x14ac:dyDescent="0.3">
      <c r="A983" s="29" t="s">
        <v>3</v>
      </c>
      <c r="B983" s="24" t="str">
        <f>HYPERLINK("http://apps.fcc.gov/ecfs/document/view?id=7521089916","  (5 pages)")</f>
        <v xml:space="preserve">  (5 pages)</v>
      </c>
      <c r="C983" s="17" t="s">
        <v>857</v>
      </c>
      <c r="D983" s="26"/>
      <c r="E983" s="17" t="s">
        <v>1002</v>
      </c>
    </row>
    <row r="984" spans="1:5" s="28" customFormat="1" ht="27.6" x14ac:dyDescent="0.3">
      <c r="A984" s="13" t="s">
        <v>412</v>
      </c>
      <c r="B984" s="14" t="str">
        <f>HYPERLINK("http://apps.fcc.gov/ecfs/document/view?id=7521088598","Rural BBand Experiment Letter of Interest (2 pages)")</f>
        <v>Rural BBand Experiment Letter of Interest (2 pages)</v>
      </c>
      <c r="C984" s="15" t="s">
        <v>854</v>
      </c>
      <c r="D984" s="16"/>
      <c r="E984" s="17" t="s">
        <v>963</v>
      </c>
    </row>
    <row r="985" spans="1:5" s="28" customFormat="1" ht="13.8" x14ac:dyDescent="0.3">
      <c r="A985" s="13" t="s">
        <v>420</v>
      </c>
      <c r="B985" s="14" t="str">
        <f>HYPERLINK("http://apps.fcc.gov/ecfs/document/view?id=7521088484","  (5 pages)")</f>
        <v xml:space="preserve">  (5 pages)</v>
      </c>
      <c r="C985" s="15" t="s">
        <v>857</v>
      </c>
      <c r="D985" s="16"/>
      <c r="E985" s="17" t="s">
        <v>926</v>
      </c>
    </row>
    <row r="986" spans="1:5" s="28" customFormat="1" ht="13.8" x14ac:dyDescent="0.3">
      <c r="A986" s="13" t="s">
        <v>139</v>
      </c>
      <c r="B986" s="14" t="str">
        <f>HYPERLINK("http://apps.fcc.gov/ecfs/document/view?id=7521089190","  (6 pages)")</f>
        <v xml:space="preserve">  (6 pages)</v>
      </c>
      <c r="C986" s="15" t="s">
        <v>856</v>
      </c>
      <c r="D986" s="16"/>
      <c r="E986" s="17" t="s">
        <v>930</v>
      </c>
    </row>
    <row r="987" spans="1:5" s="28" customFormat="1" ht="13.8" x14ac:dyDescent="0.3">
      <c r="A987" s="29" t="s">
        <v>564</v>
      </c>
      <c r="B987" s="24" t="str">
        <f>HYPERLINK("http://apps.fcc.gov/ecfs/document/view?id=7521089709","  (3 pages)")</f>
        <v xml:space="preserve">  (3 pages)</v>
      </c>
      <c r="C987" s="17" t="s">
        <v>855</v>
      </c>
      <c r="D987" s="26"/>
      <c r="E987" s="17" t="s">
        <v>932</v>
      </c>
    </row>
    <row r="988" spans="1:5" s="28" customFormat="1" ht="13.8" x14ac:dyDescent="0.3">
      <c r="A988" s="29" t="s">
        <v>556</v>
      </c>
      <c r="B988" s="24" t="str">
        <f>HYPERLINK("http://apps.fcc.gov/ecfs/document/view?id=7521089540","  (2 pages)")</f>
        <v xml:space="preserve">  (2 pages)</v>
      </c>
      <c r="C988" s="17" t="s">
        <v>854</v>
      </c>
      <c r="D988" s="26"/>
      <c r="E988" s="17" t="s">
        <v>926</v>
      </c>
    </row>
    <row r="989" spans="1:5" s="28" customFormat="1" ht="13.8" x14ac:dyDescent="0.3">
      <c r="A989" s="29" t="s">
        <v>555</v>
      </c>
      <c r="B989" s="24" t="str">
        <f>HYPERLINK("http://apps.fcc.gov/ecfs/document/view?id=7521089880","  (5 pages)")</f>
        <v xml:space="preserve">  (5 pages)</v>
      </c>
      <c r="C989" s="17" t="s">
        <v>857</v>
      </c>
      <c r="D989" s="26" t="s">
        <v>1120</v>
      </c>
      <c r="E989" s="17" t="s">
        <v>928</v>
      </c>
    </row>
    <row r="990" spans="1:5" s="28" customFormat="1" ht="13.8" x14ac:dyDescent="0.3">
      <c r="A990" s="13" t="s">
        <v>135</v>
      </c>
      <c r="B990" s="14" t="str">
        <f>HYPERLINK("http://apps.fcc.gov/ecfs/document/view?id=7521089024","  (2 pages)")</f>
        <v xml:space="preserve">  (2 pages)</v>
      </c>
      <c r="C990" s="15" t="s">
        <v>854</v>
      </c>
      <c r="D990" s="16"/>
      <c r="E990" s="17" t="s">
        <v>929</v>
      </c>
    </row>
    <row r="991" spans="1:5" s="28" customFormat="1" ht="27.6" x14ac:dyDescent="0.3">
      <c r="A991" s="13" t="s">
        <v>334</v>
      </c>
      <c r="B991" s="14" t="str">
        <f>HYPERLINK("http://apps.fcc.gov/ecfs/document/view?id=7521088575","Rural Broadband Experiment Letter of Intrest (1 page)")</f>
        <v>Rural Broadband Experiment Letter of Intrest (1 page)</v>
      </c>
      <c r="C991" s="15" t="s">
        <v>862</v>
      </c>
      <c r="D991" s="16"/>
      <c r="E991" s="17" t="s">
        <v>942</v>
      </c>
    </row>
    <row r="992" spans="1:5" s="28" customFormat="1" ht="41.4" x14ac:dyDescent="0.3">
      <c r="A992" s="13" t="s">
        <v>134</v>
      </c>
      <c r="B992" s="14" t="str">
        <f>HYPERLINK("http://apps.fcc.gov/ecfs/document/view?id=7521089131","Rural Broadband Expression of Interest Yuma Cty CO Yuma Project (4 pages)")</f>
        <v>Rural Broadband Expression of Interest Yuma Cty CO Yuma Project (4 pages)</v>
      </c>
      <c r="C992" s="15" t="s">
        <v>859</v>
      </c>
      <c r="D992" s="16"/>
      <c r="E992" s="17" t="s">
        <v>942</v>
      </c>
    </row>
    <row r="993" spans="1:5" s="28" customFormat="1" ht="41.4" x14ac:dyDescent="0.3">
      <c r="A993" s="13" t="s">
        <v>134</v>
      </c>
      <c r="B993" s="14" t="str">
        <f>HYPERLINK("http://apps.fcc.gov/ecfs/document/view?id=7521089099","Rural Broadband Experiment Expression of Interest Yuma Cty CO Wray Project (3 pages)")</f>
        <v>Rural Broadband Experiment Expression of Interest Yuma Cty CO Wray Project (3 pages)</v>
      </c>
      <c r="C993" s="15" t="s">
        <v>855</v>
      </c>
      <c r="D993" s="16"/>
      <c r="E993" s="17" t="s">
        <v>942</v>
      </c>
    </row>
    <row r="994" spans="1:5" s="28" customFormat="1" ht="27.6" x14ac:dyDescent="0.3">
      <c r="A994" s="29" t="s">
        <v>554</v>
      </c>
      <c r="B994" s="24" t="str">
        <f>HYPERLINK("http://apps.fcc.gov/ecfs/document/view?id=7521089863","EveryoneOn Expression of Interest (5 pages)")</f>
        <v>EveryoneOn Expression of Interest (5 pages)</v>
      </c>
      <c r="C994" s="17" t="s">
        <v>857</v>
      </c>
      <c r="D994" s="26" t="s">
        <v>1070</v>
      </c>
      <c r="E994" s="17"/>
    </row>
    <row r="995" spans="1:5" s="28" customFormat="1" ht="13.8" x14ac:dyDescent="0.3">
      <c r="A995" s="13" t="s">
        <v>333</v>
      </c>
      <c r="B995" s="14" t="str">
        <f>HYPERLINK("http://apps.fcc.gov/ecfs/document/view?id=7521088617","Expression of Interest (2 pages)")</f>
        <v>Expression of Interest (2 pages)</v>
      </c>
      <c r="C995" s="15" t="s">
        <v>854</v>
      </c>
      <c r="D995" s="16"/>
      <c r="E995" s="17" t="s">
        <v>930</v>
      </c>
    </row>
    <row r="996" spans="1:5" s="28" customFormat="1" ht="13.8" x14ac:dyDescent="0.3">
      <c r="C996" s="17"/>
      <c r="D996" s="29"/>
    </row>
    <row r="997" spans="1:5" s="28" customFormat="1" ht="13.8" x14ac:dyDescent="0.3">
      <c r="C997" s="17"/>
      <c r="D997" s="29"/>
    </row>
    <row r="998" spans="1:5" s="27" customFormat="1" ht="13.8" x14ac:dyDescent="0.3">
      <c r="C998" s="21"/>
      <c r="D998" s="23"/>
    </row>
    <row r="999" spans="1:5" s="27" customFormat="1" ht="13.8" x14ac:dyDescent="0.3">
      <c r="C999" s="21"/>
      <c r="D999" s="23"/>
    </row>
  </sheetData>
  <sortState ref="A3:M997">
    <sortCondition ref="A3"/>
  </sortState>
  <pageMargins left="0.7" right="0.7" top="0.75" bottom="0.75" header="0.3" footer="0.3"/>
  <pageSetup scale="95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Sorted by Filer Name</vt:lpstr>
    </vt:vector>
  </TitlesOfParts>
  <Manager>Joseph.Sorresso@fcc.gov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Joseph.Sorresso@fcc.gov</dc:creator>
  <cp:lastModifiedBy>Joseph Sorresso</cp:lastModifiedBy>
  <cp:lastPrinted>2014-03-26T20:20:46Z</cp:lastPrinted>
  <dcterms:created xsi:type="dcterms:W3CDTF">2014-02-14T19:41:31Z</dcterms:created>
  <dcterms:modified xsi:type="dcterms:W3CDTF">2014-03-27T15:48:08Z</dcterms:modified>
</cp:coreProperties>
</file>